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7011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siilats/Downloads/"/>
    </mc:Choice>
  </mc:AlternateContent>
  <bookViews>
    <workbookView xWindow="0" yWindow="460" windowWidth="24900" windowHeight="15540" tabRatio="500"/>
  </bookViews>
  <sheets>
    <sheet name="xo_data" sheetId="1" r:id="rId1"/>
    <sheet name="notes" sheetId="2" r:id="rId2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R3" i="1" l="1"/>
  <c r="S3" i="1"/>
  <c r="R4" i="1"/>
  <c r="S4" i="1"/>
  <c r="J5" i="1"/>
  <c r="R5" i="1"/>
  <c r="S5" i="1"/>
  <c r="R6" i="1"/>
  <c r="S6" i="1"/>
  <c r="R7" i="1"/>
  <c r="S7" i="1"/>
  <c r="R8" i="1"/>
  <c r="S8" i="1"/>
  <c r="R9" i="1"/>
  <c r="S9" i="1"/>
  <c r="R10" i="1"/>
  <c r="S10" i="1"/>
  <c r="R11" i="1"/>
  <c r="S11" i="1"/>
  <c r="R12" i="1"/>
  <c r="S12" i="1"/>
  <c r="R13" i="1"/>
  <c r="S13" i="1"/>
  <c r="R14" i="1"/>
  <c r="S14" i="1"/>
  <c r="R15" i="1"/>
  <c r="S15" i="1"/>
  <c r="R16" i="1"/>
  <c r="S16" i="1"/>
  <c r="R17" i="1"/>
  <c r="S17" i="1"/>
  <c r="R18" i="1"/>
  <c r="S18" i="1"/>
  <c r="R19" i="1"/>
  <c r="S19" i="1"/>
  <c r="R20" i="1"/>
  <c r="S20" i="1"/>
  <c r="R21" i="1"/>
  <c r="S21" i="1"/>
  <c r="R22" i="1"/>
  <c r="S22" i="1"/>
  <c r="R23" i="1"/>
  <c r="S23" i="1"/>
  <c r="R24" i="1"/>
  <c r="S24" i="1"/>
  <c r="R25" i="1"/>
  <c r="S25" i="1"/>
  <c r="R26" i="1"/>
  <c r="S26" i="1"/>
  <c r="R27" i="1"/>
  <c r="S27" i="1"/>
  <c r="R28" i="1"/>
  <c r="S28" i="1"/>
  <c r="R29" i="1"/>
  <c r="S29" i="1"/>
  <c r="R30" i="1"/>
  <c r="S30" i="1"/>
  <c r="R31" i="1"/>
  <c r="S31" i="1"/>
  <c r="R32" i="1"/>
  <c r="S32" i="1"/>
  <c r="R33" i="1"/>
  <c r="S33" i="1"/>
  <c r="AF27" i="1"/>
  <c r="J34" i="1"/>
  <c r="R34" i="1"/>
  <c r="S34" i="1"/>
  <c r="J2" i="1"/>
  <c r="R2" i="1"/>
  <c r="S2" i="1"/>
  <c r="P3" i="1"/>
  <c r="Q3" i="1"/>
  <c r="P4" i="1"/>
  <c r="Q4" i="1"/>
  <c r="P5" i="1"/>
  <c r="Q5" i="1"/>
  <c r="P6" i="1"/>
  <c r="Q6" i="1"/>
  <c r="P7" i="1"/>
  <c r="Q7" i="1"/>
  <c r="P8" i="1"/>
  <c r="Q8" i="1"/>
  <c r="P9" i="1"/>
  <c r="Q9" i="1"/>
  <c r="P10" i="1"/>
  <c r="Q10" i="1"/>
  <c r="P11" i="1"/>
  <c r="Q11" i="1"/>
  <c r="P12" i="1"/>
  <c r="Q12" i="1"/>
  <c r="P13" i="1"/>
  <c r="Q13" i="1"/>
  <c r="P14" i="1"/>
  <c r="Q14" i="1"/>
  <c r="P15" i="1"/>
  <c r="Q15" i="1"/>
  <c r="P16" i="1"/>
  <c r="Q16" i="1"/>
  <c r="P17" i="1"/>
  <c r="Q17" i="1"/>
  <c r="P18" i="1"/>
  <c r="Q18" i="1"/>
  <c r="P19" i="1"/>
  <c r="Q19" i="1"/>
  <c r="P20" i="1"/>
  <c r="Q20" i="1"/>
  <c r="P21" i="1"/>
  <c r="Q21" i="1"/>
  <c r="P22" i="1"/>
  <c r="Q22" i="1"/>
  <c r="P23" i="1"/>
  <c r="Q23" i="1"/>
  <c r="P24" i="1"/>
  <c r="Q24" i="1"/>
  <c r="P25" i="1"/>
  <c r="Q25" i="1"/>
  <c r="P26" i="1"/>
  <c r="Q26" i="1"/>
  <c r="P27" i="1"/>
  <c r="Q27" i="1"/>
  <c r="P28" i="1"/>
  <c r="Q28" i="1"/>
  <c r="P29" i="1"/>
  <c r="Q29" i="1"/>
  <c r="P30" i="1"/>
  <c r="Q30" i="1"/>
  <c r="P31" i="1"/>
  <c r="Q31" i="1"/>
  <c r="P32" i="1"/>
  <c r="Q32" i="1"/>
  <c r="P33" i="1"/>
  <c r="Q33" i="1"/>
  <c r="AF26" i="1"/>
  <c r="P34" i="1"/>
  <c r="Q34" i="1"/>
  <c r="P2" i="1"/>
  <c r="Q2" i="1"/>
  <c r="AF25" i="1"/>
  <c r="X3" i="1"/>
  <c r="T3" i="1"/>
  <c r="W3" i="1"/>
  <c r="U3" i="1"/>
  <c r="V3" i="1"/>
  <c r="Y3" i="1"/>
  <c r="Z3" i="1"/>
  <c r="AA3" i="1"/>
  <c r="X4" i="1"/>
  <c r="U4" i="1"/>
  <c r="V4" i="1"/>
  <c r="T4" i="1"/>
  <c r="W4" i="1"/>
  <c r="Y4" i="1"/>
  <c r="Z4" i="1"/>
  <c r="AA4" i="1"/>
  <c r="X5" i="1"/>
  <c r="T5" i="1"/>
  <c r="W5" i="1"/>
  <c r="Y5" i="1"/>
  <c r="Z5" i="1"/>
  <c r="AA5" i="1"/>
  <c r="X6" i="1"/>
  <c r="U6" i="1"/>
  <c r="V6" i="1"/>
  <c r="T6" i="1"/>
  <c r="W6" i="1"/>
  <c r="Y6" i="1"/>
  <c r="Z6" i="1"/>
  <c r="AA6" i="1"/>
  <c r="X7" i="1"/>
  <c r="U7" i="1"/>
  <c r="V7" i="1"/>
  <c r="T7" i="1"/>
  <c r="W7" i="1"/>
  <c r="Y7" i="1"/>
  <c r="Z7" i="1"/>
  <c r="AA7" i="1"/>
  <c r="X8" i="1"/>
  <c r="U8" i="1"/>
  <c r="V8" i="1"/>
  <c r="T8" i="1"/>
  <c r="W8" i="1"/>
  <c r="Y8" i="1"/>
  <c r="Z8" i="1"/>
  <c r="AA8" i="1"/>
  <c r="X9" i="1"/>
  <c r="U9" i="1"/>
  <c r="V9" i="1"/>
  <c r="T9" i="1"/>
  <c r="W9" i="1"/>
  <c r="Y9" i="1"/>
  <c r="Z9" i="1"/>
  <c r="AA9" i="1"/>
  <c r="X10" i="1"/>
  <c r="U10" i="1"/>
  <c r="V10" i="1"/>
  <c r="T10" i="1"/>
  <c r="W10" i="1"/>
  <c r="Y10" i="1"/>
  <c r="Z10" i="1"/>
  <c r="AA10" i="1"/>
  <c r="X11" i="1"/>
  <c r="U11" i="1"/>
  <c r="V11" i="1"/>
  <c r="T11" i="1"/>
  <c r="W11" i="1"/>
  <c r="Y11" i="1"/>
  <c r="Z11" i="1"/>
  <c r="AA11" i="1"/>
  <c r="X12" i="1"/>
  <c r="U12" i="1"/>
  <c r="V12" i="1"/>
  <c r="T12" i="1"/>
  <c r="W12" i="1"/>
  <c r="Y12" i="1"/>
  <c r="Z12" i="1"/>
  <c r="AA12" i="1"/>
  <c r="X13" i="1"/>
  <c r="U13" i="1"/>
  <c r="V13" i="1"/>
  <c r="T13" i="1"/>
  <c r="W13" i="1"/>
  <c r="Y13" i="1"/>
  <c r="Z13" i="1"/>
  <c r="AA13" i="1"/>
  <c r="X14" i="1"/>
  <c r="T14" i="1"/>
  <c r="W14" i="1"/>
  <c r="U14" i="1"/>
  <c r="V14" i="1"/>
  <c r="Y14" i="1"/>
  <c r="Z14" i="1"/>
  <c r="AA14" i="1"/>
  <c r="U15" i="1"/>
  <c r="V15" i="1"/>
  <c r="X15" i="1"/>
  <c r="T15" i="1"/>
  <c r="W15" i="1"/>
  <c r="Y15" i="1"/>
  <c r="Z15" i="1"/>
  <c r="AA15" i="1"/>
  <c r="X16" i="1"/>
  <c r="U16" i="1"/>
  <c r="V16" i="1"/>
  <c r="T16" i="1"/>
  <c r="W16" i="1"/>
  <c r="Y16" i="1"/>
  <c r="Z16" i="1"/>
  <c r="AA16" i="1"/>
  <c r="X17" i="1"/>
  <c r="T17" i="1"/>
  <c r="W17" i="1"/>
  <c r="U17" i="1"/>
  <c r="V17" i="1"/>
  <c r="Y17" i="1"/>
  <c r="Z17" i="1"/>
  <c r="AA17" i="1"/>
  <c r="X18" i="1"/>
  <c r="U18" i="1"/>
  <c r="V18" i="1"/>
  <c r="T18" i="1"/>
  <c r="W18" i="1"/>
  <c r="Y18" i="1"/>
  <c r="Z18" i="1"/>
  <c r="AA18" i="1"/>
  <c r="X19" i="1"/>
  <c r="U19" i="1"/>
  <c r="V19" i="1"/>
  <c r="T19" i="1"/>
  <c r="W19" i="1"/>
  <c r="Y19" i="1"/>
  <c r="Z19" i="1"/>
  <c r="AA19" i="1"/>
  <c r="X20" i="1"/>
  <c r="U20" i="1"/>
  <c r="V20" i="1"/>
  <c r="T20" i="1"/>
  <c r="W20" i="1"/>
  <c r="Y20" i="1"/>
  <c r="Z20" i="1"/>
  <c r="AA20" i="1"/>
  <c r="X21" i="1"/>
  <c r="T21" i="1"/>
  <c r="W21" i="1"/>
  <c r="U21" i="1"/>
  <c r="V21" i="1"/>
  <c r="Y21" i="1"/>
  <c r="Z21" i="1"/>
  <c r="AA21" i="1"/>
  <c r="X22" i="1"/>
  <c r="U22" i="1"/>
  <c r="V22" i="1"/>
  <c r="T22" i="1"/>
  <c r="W22" i="1"/>
  <c r="Y22" i="1"/>
  <c r="Z22" i="1"/>
  <c r="AA22" i="1"/>
  <c r="X23" i="1"/>
  <c r="U23" i="1"/>
  <c r="V23" i="1"/>
  <c r="T23" i="1"/>
  <c r="W23" i="1"/>
  <c r="Y23" i="1"/>
  <c r="Z23" i="1"/>
  <c r="AA23" i="1"/>
  <c r="X24" i="1"/>
  <c r="U24" i="1"/>
  <c r="V24" i="1"/>
  <c r="T24" i="1"/>
  <c r="W24" i="1"/>
  <c r="Y24" i="1"/>
  <c r="Z24" i="1"/>
  <c r="AA24" i="1"/>
  <c r="X25" i="1"/>
  <c r="U25" i="1"/>
  <c r="V25" i="1"/>
  <c r="T25" i="1"/>
  <c r="W25" i="1"/>
  <c r="Y25" i="1"/>
  <c r="Z25" i="1"/>
  <c r="AA25" i="1"/>
  <c r="X26" i="1"/>
  <c r="U26" i="1"/>
  <c r="V26" i="1"/>
  <c r="T26" i="1"/>
  <c r="W26" i="1"/>
  <c r="Y26" i="1"/>
  <c r="Z26" i="1"/>
  <c r="AA26" i="1"/>
  <c r="X27" i="1"/>
  <c r="U27" i="1"/>
  <c r="V27" i="1"/>
  <c r="T27" i="1"/>
  <c r="W27" i="1"/>
  <c r="Y27" i="1"/>
  <c r="Z27" i="1"/>
  <c r="AA27" i="1"/>
  <c r="X28" i="1"/>
  <c r="U28" i="1"/>
  <c r="V28" i="1"/>
  <c r="T28" i="1"/>
  <c r="W28" i="1"/>
  <c r="Y28" i="1"/>
  <c r="Z28" i="1"/>
  <c r="AA28" i="1"/>
  <c r="X29" i="1"/>
  <c r="U29" i="1"/>
  <c r="V29" i="1"/>
  <c r="T29" i="1"/>
  <c r="W29" i="1"/>
  <c r="Y29" i="1"/>
  <c r="Z29" i="1"/>
  <c r="AA29" i="1"/>
  <c r="X30" i="1"/>
  <c r="U30" i="1"/>
  <c r="V30" i="1"/>
  <c r="T30" i="1"/>
  <c r="W30" i="1"/>
  <c r="Y30" i="1"/>
  <c r="Z30" i="1"/>
  <c r="AA30" i="1"/>
  <c r="X31" i="1"/>
  <c r="U31" i="1"/>
  <c r="V31" i="1"/>
  <c r="T31" i="1"/>
  <c r="W31" i="1"/>
  <c r="Y31" i="1"/>
  <c r="Z31" i="1"/>
  <c r="AA31" i="1"/>
  <c r="X32" i="1"/>
  <c r="U32" i="1"/>
  <c r="V32" i="1"/>
  <c r="T32" i="1"/>
  <c r="W32" i="1"/>
  <c r="Y32" i="1"/>
  <c r="Z32" i="1"/>
  <c r="AA32" i="1"/>
  <c r="X33" i="1"/>
  <c r="U33" i="1"/>
  <c r="V33" i="1"/>
  <c r="T33" i="1"/>
  <c r="W33" i="1"/>
  <c r="Y33" i="1"/>
  <c r="Z33" i="1"/>
  <c r="AA33" i="1"/>
  <c r="X34" i="1"/>
  <c r="U34" i="1"/>
  <c r="V34" i="1"/>
  <c r="T34" i="1"/>
  <c r="W34" i="1"/>
  <c r="Y34" i="1"/>
  <c r="Z34" i="1"/>
  <c r="AA34" i="1"/>
  <c r="X2" i="1"/>
  <c r="T2" i="1"/>
  <c r="W2" i="1"/>
  <c r="Y2" i="1"/>
  <c r="Z2" i="1"/>
  <c r="AA2" i="1"/>
  <c r="AF20" i="1"/>
  <c r="AC2" i="1"/>
  <c r="AC3" i="1"/>
  <c r="AC4" i="1"/>
  <c r="AC5" i="1"/>
  <c r="AC6" i="1"/>
  <c r="AC7" i="1"/>
  <c r="AC8" i="1"/>
  <c r="AC9" i="1"/>
  <c r="AC10" i="1"/>
  <c r="AC11" i="1"/>
  <c r="AC12" i="1"/>
  <c r="AC13" i="1"/>
  <c r="AC14" i="1"/>
  <c r="AC15" i="1"/>
  <c r="AC16" i="1"/>
  <c r="AC17" i="1"/>
  <c r="AC18" i="1"/>
  <c r="AC19" i="1"/>
  <c r="AC20" i="1"/>
  <c r="AC21" i="1"/>
  <c r="AC22" i="1"/>
  <c r="AC23" i="1"/>
  <c r="AC24" i="1"/>
  <c r="AC25" i="1"/>
  <c r="AC26" i="1"/>
  <c r="AC27" i="1"/>
  <c r="AC28" i="1"/>
  <c r="AC29" i="1"/>
  <c r="AC30" i="1"/>
  <c r="AC31" i="1"/>
  <c r="AC32" i="1"/>
  <c r="AC33" i="1"/>
  <c r="AC34" i="1"/>
  <c r="AF21" i="1"/>
  <c r="AF22" i="1"/>
  <c r="AF3" i="1"/>
  <c r="AF23" i="1"/>
  <c r="AB3" i="1"/>
  <c r="AB4" i="1"/>
  <c r="AB5" i="1"/>
  <c r="AB6" i="1"/>
  <c r="AB7" i="1"/>
  <c r="AB8" i="1"/>
  <c r="AB9" i="1"/>
  <c r="AB10" i="1"/>
  <c r="AB11" i="1"/>
  <c r="AB12" i="1"/>
  <c r="AB13" i="1"/>
  <c r="AB14" i="1"/>
  <c r="AB15" i="1"/>
  <c r="AB16" i="1"/>
  <c r="AB17" i="1"/>
  <c r="AB18" i="1"/>
  <c r="AB19" i="1"/>
  <c r="AB20" i="1"/>
  <c r="AB21" i="1"/>
  <c r="AB22" i="1"/>
  <c r="AB23" i="1"/>
  <c r="AB24" i="1"/>
  <c r="AB25" i="1"/>
  <c r="AB26" i="1"/>
  <c r="AB27" i="1"/>
  <c r="AB28" i="1"/>
  <c r="AB29" i="1"/>
  <c r="AB30" i="1"/>
  <c r="AB31" i="1"/>
  <c r="AB32" i="1"/>
  <c r="AB33" i="1"/>
  <c r="AF19" i="1"/>
  <c r="AB34" i="1"/>
  <c r="AB2" i="1"/>
  <c r="AF17" i="1"/>
  <c r="U5" i="1"/>
  <c r="AI15" i="1"/>
  <c r="AI10" i="1"/>
  <c r="AF15" i="1"/>
  <c r="AF16" i="1"/>
  <c r="AF4" i="1"/>
  <c r="AF5" i="1"/>
  <c r="AF18" i="1"/>
</calcChain>
</file>

<file path=xl/sharedStrings.xml><?xml version="1.0" encoding="utf-8"?>
<sst xmlns="http://schemas.openxmlformats.org/spreadsheetml/2006/main" count="271" uniqueCount="166">
  <si>
    <t>EUR</t>
  </si>
  <si>
    <t>AA</t>
  </si>
  <si>
    <t>Fitch</t>
  </si>
  <si>
    <t>Belgia</t>
  </si>
  <si>
    <t>BE0000323320</t>
  </si>
  <si>
    <t>AA+</t>
  </si>
  <si>
    <t>S&amp;P</t>
  </si>
  <si>
    <t>EU000A1G4DN5</t>
  </si>
  <si>
    <t>EU000A1GV187</t>
  </si>
  <si>
    <t>EU000A1AJM31</t>
  </si>
  <si>
    <t>Aa2</t>
  </si>
  <si>
    <t>Moody´s</t>
  </si>
  <si>
    <t>BE0001714659</t>
  </si>
  <si>
    <t>A3</t>
  </si>
  <si>
    <t>Eesti</t>
  </si>
  <si>
    <t>XS0645947457</t>
  </si>
  <si>
    <t>A1</t>
  </si>
  <si>
    <t>Holland</t>
  </si>
  <si>
    <t>XS0995811741</t>
  </si>
  <si>
    <t>Baa2</t>
  </si>
  <si>
    <t>Itaalia</t>
  </si>
  <si>
    <t>IT0004009673</t>
  </si>
  <si>
    <t>Aa3</t>
  </si>
  <si>
    <t>Kaimanisaared</t>
  </si>
  <si>
    <t>XS0860584308</t>
  </si>
  <si>
    <t>Katar</t>
  </si>
  <si>
    <t>XS0615236006</t>
  </si>
  <si>
    <t>USD</t>
  </si>
  <si>
    <t>A-</t>
  </si>
  <si>
    <t>Leedu</t>
  </si>
  <si>
    <t>LT0000607087</t>
  </si>
  <si>
    <t>LT1000610014</t>
  </si>
  <si>
    <t>Baa1</t>
  </si>
  <si>
    <t>XS0327304001</t>
  </si>
  <si>
    <t>LT0000610057</t>
  </si>
  <si>
    <t>XS1020300288</t>
  </si>
  <si>
    <t>LT1000600270</t>
  </si>
  <si>
    <t>LT0000610065</t>
  </si>
  <si>
    <t>Luksemburg</t>
  </si>
  <si>
    <t>EU000A1G0AA6</t>
  </si>
  <si>
    <t>Aaa</t>
  </si>
  <si>
    <t>XS0241120715</t>
  </si>
  <si>
    <t>Baa3</t>
  </si>
  <si>
    <t>Läti</t>
  </si>
  <si>
    <t>LV0000801777</t>
  </si>
  <si>
    <t>LV0000801165</t>
  </si>
  <si>
    <t>XS1017763100</t>
  </si>
  <si>
    <t>BBB+</t>
  </si>
  <si>
    <t>Rootsi</t>
  </si>
  <si>
    <t>XS1019818787</t>
  </si>
  <si>
    <t>Rumeenia</t>
  </si>
  <si>
    <t>XS1129788524</t>
  </si>
  <si>
    <t>A2</t>
  </si>
  <si>
    <t>Slovakkia</t>
  </si>
  <si>
    <t>XS0299989813</t>
  </si>
  <si>
    <t>SK4120008871</t>
  </si>
  <si>
    <t>SK4120007204</t>
  </si>
  <si>
    <t>NR</t>
  </si>
  <si>
    <t>-</t>
  </si>
  <si>
    <t>Soome</t>
  </si>
  <si>
    <t>FI4000005277</t>
  </si>
  <si>
    <t>FI4000047360</t>
  </si>
  <si>
    <t>Tšehhi</t>
  </si>
  <si>
    <t>XS0750894577</t>
  </si>
  <si>
    <t>Kogus</t>
  </si>
  <si>
    <t>Belgium 3.5% 28/06/17</t>
  </si>
  <si>
    <t>European Union 2.75% 04/04/22</t>
  </si>
  <si>
    <t>European Union 2.375% 04/10/18</t>
  </si>
  <si>
    <t>European Union 3.625% 06/04/16</t>
  </si>
  <si>
    <t>Flemish Community 3% 31/01/18</t>
  </si>
  <si>
    <t>Elering 4.625% 12/07/18</t>
  </si>
  <si>
    <t>Sabic Capital 2.75% 20/11/20</t>
  </si>
  <si>
    <t>Buoni Poliennali 3.75% 01/08/21</t>
  </si>
  <si>
    <t>IPIC 3.625% 30/05/23</t>
  </si>
  <si>
    <t>Qatar 4.5% 20/01/22</t>
  </si>
  <si>
    <t>Lithuania 3.4% 03/10/20</t>
  </si>
  <si>
    <t>Lithuania 2.1% 06/11/24</t>
  </si>
  <si>
    <t>Lithuania 4.85% 07/02/18</t>
  </si>
  <si>
    <t>Lithuania 5.5% 17/05/22</t>
  </si>
  <si>
    <t>Lithuania 3.375% 22/01/24</t>
  </si>
  <si>
    <t>Lithuania 4.95% 22/09/17</t>
  </si>
  <si>
    <t>Lithuania 4.1% 28/02/23</t>
  </si>
  <si>
    <t>EFSF 2.75% 18/07/16</t>
  </si>
  <si>
    <t>European Investment Bank 02/17/2016</t>
  </si>
  <si>
    <t>Latvenergo 1.9% 10/06/22</t>
  </si>
  <si>
    <t>Latvenergo 2.8% 22/05/20</t>
  </si>
  <si>
    <t>Latvia 2.625% 21/01/21</t>
  </si>
  <si>
    <t>PKO Bank 2.324% 23/01/19</t>
  </si>
  <si>
    <t>Romania 2.875% 28/10/24</t>
  </si>
  <si>
    <t>Slovakia 4.375% 15/05/17</t>
  </si>
  <si>
    <t>Slovakia 3.375% 15/11/24</t>
  </si>
  <si>
    <t>Slovakia 4% 27/04/20</t>
  </si>
  <si>
    <t>Neste Oil 6% 14/09/16</t>
  </si>
  <si>
    <t>Neste Oil 4% 18/09/19</t>
  </si>
  <si>
    <t>Czech Republic 3.875% 24/05/22</t>
  </si>
  <si>
    <t>Nimi</t>
  </si>
  <si>
    <t>Rating</t>
  </si>
  <si>
    <t>Agency</t>
  </si>
  <si>
    <t>Country</t>
  </si>
  <si>
    <t>Isin</t>
  </si>
  <si>
    <t>Par</t>
  </si>
  <si>
    <t>Currency</t>
  </si>
  <si>
    <t>Coupon</t>
  </si>
  <si>
    <t>Maturity</t>
  </si>
  <si>
    <t>PurchasePrice</t>
  </si>
  <si>
    <t>PurchaseAmount</t>
  </si>
  <si>
    <t>MarketPrice</t>
  </si>
  <si>
    <t>Notes</t>
  </si>
  <si>
    <t>1. Rounding off Belgium 0.01</t>
  </si>
  <si>
    <t>2. Not ordered by size</t>
  </si>
  <si>
    <t>3. PDF impossible to import to excel due to spaces in amounts</t>
  </si>
  <si>
    <t>4. No yield or duration</t>
  </si>
  <si>
    <t>5. No weighted yield or rating for portfolio</t>
  </si>
  <si>
    <t>Arvelduskonto EUR, Swedbank</t>
  </si>
  <si>
    <t>Arvelduskonto USD, Swedbank</t>
  </si>
  <si>
    <t>Citadele Banka Eesti filiaal</t>
  </si>
  <si>
    <t>B2</t>
  </si>
  <si>
    <t>6. Different table have different column order</t>
  </si>
  <si>
    <t>CurrentValue</t>
  </si>
  <si>
    <t>PercentOfPortfolio</t>
  </si>
  <si>
    <t>ReportDate</t>
  </si>
  <si>
    <t>HaldusTasu</t>
  </si>
  <si>
    <t>CurrentPrice</t>
  </si>
  <si>
    <t>MktVal</t>
  </si>
  <si>
    <t>Cost</t>
  </si>
  <si>
    <t>Profit</t>
  </si>
  <si>
    <t>7. No trade data, closed position, trading pnl (price on the same day)</t>
  </si>
  <si>
    <t>120.675 : 121.560</t>
  </si>
  <si>
    <t>Yield</t>
  </si>
  <si>
    <t>Yield in % (last price)</t>
  </si>
  <si>
    <t>Yield in % (ask)</t>
  </si>
  <si>
    <t>Czeck</t>
  </si>
  <si>
    <t>Bid/Ask</t>
  </si>
  <si>
    <t>Latvia</t>
  </si>
  <si>
    <t>http://www.boerse-frankfurt.de/en/bonds/czech+rep+12+22+mtn+XS0750894577</t>
  </si>
  <si>
    <t>Bid / Ask</t>
  </si>
  <si>
    <t>109.550 : 111.550</t>
  </si>
  <si>
    <t>DaysToMat</t>
  </si>
  <si>
    <t>CouponToMat</t>
  </si>
  <si>
    <t>MaturityPayment</t>
  </si>
  <si>
    <t>Exchange rate</t>
  </si>
  <si>
    <t>TotalPayment</t>
  </si>
  <si>
    <t>Total Profit Until Maturity</t>
  </si>
  <si>
    <t>Percent</t>
  </si>
  <si>
    <t>8. Missing Accrued Interest</t>
  </si>
  <si>
    <t>Accrued interest in %</t>
  </si>
  <si>
    <t>Accrued Interest days</t>
  </si>
  <si>
    <t>InterestDate</t>
  </si>
  <si>
    <t>QuoteDate</t>
  </si>
  <si>
    <t>CouponDate</t>
  </si>
  <si>
    <t>AccruedInt</t>
  </si>
  <si>
    <t>DollarWeightedYield</t>
  </si>
  <si>
    <t>ManagementFee</t>
  </si>
  <si>
    <t>AnnualizedGrossProfit</t>
  </si>
  <si>
    <t>Fee</t>
  </si>
  <si>
    <t>9. Current Value calculated on Ask Prices to inflate management fee</t>
  </si>
  <si>
    <t>AverageBondYield</t>
  </si>
  <si>
    <t>TotalAnnualProfit</t>
  </si>
  <si>
    <t>NetProfit</t>
  </si>
  <si>
    <t>Return (Sec Yield)</t>
  </si>
  <si>
    <t>NoCashYield</t>
  </si>
  <si>
    <t>Average Coupon</t>
  </si>
  <si>
    <t>PurchasePctOfPar</t>
  </si>
  <si>
    <t>CurrentPricePctofPar</t>
  </si>
  <si>
    <t>AveragePurchasePrice</t>
  </si>
  <si>
    <t>AverageCurrentPrice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</si>
</sst>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_-&quot;$&quot;* #,##0.00_-;\-&quot;$&quot;* #,##0.00_-;_-&quot;$&quot;* &quot;-&quot;??_-;_-@_-"/>
    <numFmt numFmtId="165" formatCode="_-&quot;$&quot;* #,##0_-;\-&quot;$&quot;* #,##0_-;_-&quot;$&quot;* &quot;-&quot;??_-;_-@_-"/>
    <numFmt numFmtId="166" formatCode="_-&quot;$&quot;* #,##0.000_-;\-&quot;$&quot;* #,##0.000_-;_-&quot;$&quot;* &quot;-&quot;??_-;_-@_-"/>
    <numFmt numFmtId="167" formatCode="_-&quot;$&quot;* #,##0.0000_-;\-&quot;$&quot;* #,##0.0000_-;_-&quot;$&quot;* &quot;-&quot;??_-;_-@_-"/>
    <numFmt numFmtId="168" formatCode="0.000%"/>
    <numFmt numFmtId="169" formatCode="0.0000%"/>
  </numFmts>
  <fonts count="9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1"/>
      <color rgb="FF000000"/>
      <name val="Arial"/>
    </font>
    <font>
      <sz val="11"/>
      <color rgb="FF666666"/>
      <name val="Verdana"/>
    </font>
    <font>
      <b/>
      <sz val="11"/>
      <color rgb="FF666666"/>
      <name val="Verdana"/>
    </font>
    <font>
      <sz val="12"/>
      <color rgb="FF222222"/>
      <name val="Helvetica Neue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61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31">
    <xf numFmtId="0" fontId="0" fillId="0" borderId="0" xfId="0"/>
    <xf numFmtId="10" fontId="0" fillId="0" borderId="0" xfId="0" applyNumberFormat="1"/>
    <xf numFmtId="0" fontId="2" fillId="0" borderId="0" xfId="0" applyFont="1"/>
    <xf numFmtId="14" fontId="0" fillId="0" borderId="0" xfId="0" applyNumberFormat="1"/>
    <xf numFmtId="165" fontId="0" fillId="0" borderId="0" xfId="1" applyNumberFormat="1" applyFont="1"/>
    <xf numFmtId="14" fontId="2" fillId="0" borderId="0" xfId="0" applyNumberFormat="1" applyFont="1"/>
    <xf numFmtId="165" fontId="0" fillId="0" borderId="0" xfId="0" applyNumberFormat="1"/>
    <xf numFmtId="2" fontId="0" fillId="0" borderId="0" xfId="0" applyNumberFormat="1"/>
    <xf numFmtId="1" fontId="2" fillId="0" borderId="0" xfId="0" applyNumberFormat="1" applyFont="1"/>
    <xf numFmtId="1" fontId="0" fillId="0" borderId="0" xfId="0" applyNumberFormat="1"/>
    <xf numFmtId="166" fontId="0" fillId="0" borderId="0" xfId="0" applyNumberFormat="1"/>
    <xf numFmtId="167" fontId="0" fillId="0" borderId="0" xfId="0" applyNumberFormat="1"/>
    <xf numFmtId="10" fontId="0" fillId="0" borderId="0" xfId="2" applyNumberFormat="1" applyFont="1"/>
    <xf numFmtId="10" fontId="2" fillId="0" borderId="0" xfId="0" applyNumberFormat="1" applyFont="1"/>
    <xf numFmtId="0" fontId="2" fillId="0" borderId="0" xfId="0" applyNumberFormat="1" applyFont="1"/>
    <xf numFmtId="165" fontId="2" fillId="0" borderId="0" xfId="1" applyNumberFormat="1" applyFont="1"/>
    <xf numFmtId="167" fontId="2" fillId="0" borderId="0" xfId="0" applyNumberFormat="1" applyFont="1"/>
    <xf numFmtId="166" fontId="2" fillId="0" borderId="0" xfId="0" applyNumberFormat="1" applyFont="1"/>
    <xf numFmtId="0" fontId="5" fillId="0" borderId="0" xfId="0" applyFont="1"/>
    <xf numFmtId="164" fontId="0" fillId="0" borderId="0" xfId="1" applyNumberFormat="1" applyFont="1"/>
    <xf numFmtId="168" fontId="0" fillId="0" borderId="0" xfId="2" applyNumberFormat="1" applyFont="1"/>
    <xf numFmtId="169" fontId="0" fillId="0" borderId="0" xfId="2" applyNumberFormat="1" applyFont="1"/>
    <xf numFmtId="14" fontId="6" fillId="0" borderId="0" xfId="0" applyNumberFormat="1" applyFont="1"/>
    <xf numFmtId="14" fontId="7" fillId="0" borderId="0" xfId="0" applyNumberFormat="1" applyFont="1"/>
    <xf numFmtId="169" fontId="2" fillId="0" borderId="0" xfId="2" applyNumberFormat="1" applyFont="1"/>
    <xf numFmtId="165" fontId="6" fillId="0" borderId="0" xfId="1" applyNumberFormat="1" applyFont="1"/>
    <xf numFmtId="165" fontId="7" fillId="0" borderId="0" xfId="1" applyNumberFormat="1" applyFont="1"/>
    <xf numFmtId="169" fontId="0" fillId="0" borderId="0" xfId="0" applyNumberFormat="1"/>
    <xf numFmtId="10" fontId="8" fillId="0" borderId="0" xfId="0" applyNumberFormat="1" applyFont="1"/>
    <xf numFmtId="9" fontId="2" fillId="0" borderId="0" xfId="2" applyFont="1"/>
    <xf numFmtId="9" fontId="0" fillId="0" borderId="0" xfId="0" applyNumberFormat="1"/>
  </cellXfs>
  <cellStyles count="161">
    <cellStyle name="Currency" xfId="1" builtinId="4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Normal" xfId="0" builtinId="0"/>
    <cellStyle name="Percent" xfId="2" builtinId="5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6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34"/>
  <sheetViews>
    <sheetView tabSelected="1" workbookViewId="0">
      <selection activeCell="AB31" sqref="AB31"/>
    </sheetView>
  </sheetViews>
  <sheetFormatPr baseColWidth="10" defaultRowHeight="16" x14ac:dyDescent="0.2"/>
  <cols>
    <col min="1" max="1" width="17.5" customWidth="1"/>
    <col min="5" max="5" width="10.83203125" customWidth="1"/>
    <col min="6" max="6" width="12.6640625" style="9" customWidth="1"/>
    <col min="11" max="11" width="0" hidden="1" customWidth="1"/>
    <col min="12" max="12" width="14.1640625" bestFit="1" customWidth="1"/>
    <col min="13" max="13" width="0" hidden="1" customWidth="1"/>
    <col min="14" max="14" width="14.1640625" bestFit="1" customWidth="1"/>
    <col min="15" max="15" width="17.1640625" customWidth="1"/>
    <col min="16" max="16" width="13.6640625" bestFit="1" customWidth="1"/>
    <col min="17" max="17" width="13.6640625" customWidth="1"/>
    <col min="18" max="19" width="15.5" customWidth="1"/>
    <col min="22" max="22" width="12.5" bestFit="1" customWidth="1"/>
    <col min="23" max="23" width="17.6640625" customWidth="1"/>
    <col min="24" max="30" width="19.83203125" customWidth="1"/>
    <col min="31" max="31" width="17" customWidth="1"/>
    <col min="32" max="32" width="12.5" bestFit="1" customWidth="1"/>
  </cols>
  <sheetData>
    <row r="1" spans="1:35" s="2" customFormat="1" x14ac:dyDescent="0.2">
      <c r="A1" s="2" t="s">
        <v>95</v>
      </c>
      <c r="B1" s="2" t="s">
        <v>96</v>
      </c>
      <c r="C1" s="2" t="s">
        <v>97</v>
      </c>
      <c r="D1" s="2" t="s">
        <v>98</v>
      </c>
      <c r="E1" s="2" t="s">
        <v>99</v>
      </c>
      <c r="F1" s="8" t="s">
        <v>100</v>
      </c>
      <c r="G1" s="2" t="s">
        <v>101</v>
      </c>
      <c r="H1" s="2" t="s">
        <v>102</v>
      </c>
      <c r="I1" s="2" t="s">
        <v>103</v>
      </c>
      <c r="J1" s="2" t="s">
        <v>64</v>
      </c>
      <c r="K1" s="2" t="s">
        <v>104</v>
      </c>
      <c r="L1" s="2" t="s">
        <v>105</v>
      </c>
      <c r="M1" s="2" t="s">
        <v>106</v>
      </c>
      <c r="N1" s="2" t="s">
        <v>118</v>
      </c>
      <c r="O1" s="2" t="s">
        <v>119</v>
      </c>
      <c r="P1" s="2" t="s">
        <v>104</v>
      </c>
      <c r="Q1" s="2" t="s">
        <v>162</v>
      </c>
      <c r="R1" s="2" t="s">
        <v>122</v>
      </c>
      <c r="S1" s="2" t="s">
        <v>163</v>
      </c>
      <c r="T1" s="2" t="s">
        <v>137</v>
      </c>
      <c r="U1" s="2" t="s">
        <v>149</v>
      </c>
      <c r="V1" s="2" t="s">
        <v>150</v>
      </c>
      <c r="W1" s="2" t="s">
        <v>138</v>
      </c>
      <c r="X1" s="2" t="s">
        <v>139</v>
      </c>
      <c r="Y1" s="2" t="s">
        <v>141</v>
      </c>
      <c r="Z1" s="2" t="s">
        <v>125</v>
      </c>
      <c r="AA1" s="2" t="s">
        <v>153</v>
      </c>
      <c r="AB1" s="2" t="s">
        <v>128</v>
      </c>
      <c r="AC1" s="2" t="s">
        <v>154</v>
      </c>
      <c r="AE1" s="2" t="s">
        <v>120</v>
      </c>
      <c r="AF1" s="5">
        <v>42216</v>
      </c>
    </row>
    <row r="2" spans="1:35" x14ac:dyDescent="0.2">
      <c r="A2" t="s">
        <v>113</v>
      </c>
      <c r="B2" t="s">
        <v>16</v>
      </c>
      <c r="C2" t="s">
        <v>11</v>
      </c>
      <c r="D2" t="s">
        <v>14</v>
      </c>
      <c r="F2" s="9">
        <v>1</v>
      </c>
      <c r="G2" t="s">
        <v>0</v>
      </c>
      <c r="H2" s="1">
        <v>9.9999999999999995E-7</v>
      </c>
      <c r="I2" s="3">
        <v>42247</v>
      </c>
      <c r="J2" s="9">
        <f>N2</f>
        <v>6102493</v>
      </c>
      <c r="L2" s="4">
        <v>6102493</v>
      </c>
      <c r="M2" s="4"/>
      <c r="N2" s="4">
        <v>6102493</v>
      </c>
      <c r="O2" s="1">
        <v>0.40570000000000001</v>
      </c>
      <c r="P2" s="16">
        <f t="shared" ref="P2:P34" si="0">L2/J2</f>
        <v>1</v>
      </c>
      <c r="Q2" s="29">
        <f>(P2-F2)/F2+1</f>
        <v>1</v>
      </c>
      <c r="R2" s="17">
        <f t="shared" ref="R2:R34" si="1">N2/J2</f>
        <v>1</v>
      </c>
      <c r="S2" s="29">
        <f>(R2-F2)/F2+1</f>
        <v>1</v>
      </c>
      <c r="T2">
        <f t="shared" ref="T2:T34" si="2">I2-$AF$1</f>
        <v>31</v>
      </c>
      <c r="W2" s="4">
        <f t="shared" ref="W2:W14" si="3">T2*H2/365*J2*F2</f>
        <v>0.51829392602739721</v>
      </c>
      <c r="X2" s="4">
        <f t="shared" ref="X2:X14" si="4">F2*J2</f>
        <v>6102493</v>
      </c>
      <c r="Y2" s="4">
        <f>X2+W2+V2</f>
        <v>6102493.5182939265</v>
      </c>
      <c r="Z2" s="4">
        <f t="shared" ref="Z2:Z34" si="5">Y2-N2</f>
        <v>0.51829392649233341</v>
      </c>
      <c r="AA2" s="19">
        <f>Z2/T2*365</f>
        <v>6.1024930054742486</v>
      </c>
      <c r="AB2" s="21">
        <f t="shared" ref="AB2:AB34" si="6">AA2/N2</f>
        <v>1.0000000008970513E-6</v>
      </c>
      <c r="AC2" s="4">
        <f>N2*$AF$2</f>
        <v>44975.9836593</v>
      </c>
      <c r="AD2" s="4"/>
      <c r="AE2" t="s">
        <v>121</v>
      </c>
      <c r="AF2" s="28">
        <v>7.3701000000000001E-3</v>
      </c>
    </row>
    <row r="3" spans="1:35" x14ac:dyDescent="0.2">
      <c r="A3" s="2" t="s">
        <v>94</v>
      </c>
      <c r="B3" s="2" t="s">
        <v>16</v>
      </c>
      <c r="C3" s="2" t="s">
        <v>11</v>
      </c>
      <c r="D3" s="2" t="s">
        <v>62</v>
      </c>
      <c r="E3" s="2" t="s">
        <v>63</v>
      </c>
      <c r="F3" s="8">
        <v>1000</v>
      </c>
      <c r="G3" s="2" t="s">
        <v>0</v>
      </c>
      <c r="H3" s="13">
        <v>3.8800000000000001E-2</v>
      </c>
      <c r="I3" s="5">
        <v>44705</v>
      </c>
      <c r="J3" s="14">
        <v>800</v>
      </c>
      <c r="K3" s="2">
        <v>1195.26</v>
      </c>
      <c r="L3" s="15">
        <v>956207</v>
      </c>
      <c r="M3" s="15">
        <v>1212.2</v>
      </c>
      <c r="N3" s="15">
        <v>969760</v>
      </c>
      <c r="O3" s="13">
        <v>6.4500000000000002E-2</v>
      </c>
      <c r="P3" s="16">
        <f t="shared" si="0"/>
        <v>1195.25875</v>
      </c>
      <c r="Q3" s="29">
        <f t="shared" ref="Q3:Q34" si="7">(P3-F3)/F3+1</f>
        <v>1.19525875</v>
      </c>
      <c r="R3" s="17">
        <f t="shared" si="1"/>
        <v>1212.2</v>
      </c>
      <c r="S3" s="29">
        <f t="shared" ref="S3:S34" si="8">(R3-F3)/F3+1</f>
        <v>1.2122000000000002</v>
      </c>
      <c r="T3">
        <f t="shared" si="2"/>
        <v>2489</v>
      </c>
      <c r="U3" s="22">
        <f t="shared" ref="U3:U13" si="9">DATE(IF(MONTH(I3)&gt;7,2014,2015),MONTH(I3),DAY(I3))</f>
        <v>42148</v>
      </c>
      <c r="V3" s="25">
        <f>($AF$1-U3)*H3/365*J3*F3</f>
        <v>5782.7945205479455</v>
      </c>
      <c r="W3" s="4">
        <f t="shared" si="3"/>
        <v>211667.28767123289</v>
      </c>
      <c r="X3" s="4">
        <f t="shared" si="4"/>
        <v>800000</v>
      </c>
      <c r="Y3" s="4">
        <f t="shared" ref="Y3:Y34" si="10">X3+W3+V3</f>
        <v>1017450.0821917808</v>
      </c>
      <c r="Z3" s="4">
        <f t="shared" si="5"/>
        <v>47690.082191780792</v>
      </c>
      <c r="AA3" s="19">
        <f t="shared" ref="AA3:AA34" si="11">Z3/T3*365</f>
        <v>6993.5235034150219</v>
      </c>
      <c r="AB3" s="21">
        <f t="shared" si="6"/>
        <v>7.2116023587434231E-3</v>
      </c>
      <c r="AC3" s="4">
        <f t="shared" ref="AC3:AC34" si="12">N3*$AF$2</f>
        <v>7147.2281760000005</v>
      </c>
      <c r="AD3" s="4"/>
      <c r="AE3" t="s">
        <v>123</v>
      </c>
      <c r="AF3" s="6">
        <f>SUM(N2:N34)</f>
        <v>15060145</v>
      </c>
    </row>
    <row r="4" spans="1:35" x14ac:dyDescent="0.2">
      <c r="A4" t="s">
        <v>86</v>
      </c>
      <c r="B4" t="s">
        <v>13</v>
      </c>
      <c r="C4" t="s">
        <v>11</v>
      </c>
      <c r="D4" t="s">
        <v>43</v>
      </c>
      <c r="E4" t="s">
        <v>46</v>
      </c>
      <c r="F4" s="9">
        <v>1000</v>
      </c>
      <c r="G4" t="s">
        <v>0</v>
      </c>
      <c r="H4" s="1">
        <v>2.63E-2</v>
      </c>
      <c r="I4" s="3">
        <v>44217</v>
      </c>
      <c r="J4">
        <v>759</v>
      </c>
      <c r="K4">
        <v>1004.69</v>
      </c>
      <c r="L4" s="4">
        <v>762564</v>
      </c>
      <c r="M4" s="4">
        <v>1122.74</v>
      </c>
      <c r="N4" s="4">
        <v>852157</v>
      </c>
      <c r="O4" s="1">
        <v>5.67E-2</v>
      </c>
      <c r="P4" s="11">
        <f t="shared" si="0"/>
        <v>1004.695652173913</v>
      </c>
      <c r="Q4" s="29">
        <f t="shared" si="7"/>
        <v>1.004695652173913</v>
      </c>
      <c r="R4" s="10">
        <f t="shared" si="1"/>
        <v>1122.7364953886693</v>
      </c>
      <c r="S4" s="29">
        <f t="shared" si="8"/>
        <v>1.1227364953886692</v>
      </c>
      <c r="T4">
        <f t="shared" si="2"/>
        <v>2001</v>
      </c>
      <c r="U4" s="22">
        <f t="shared" si="9"/>
        <v>42025</v>
      </c>
      <c r="V4" s="25">
        <f>($AF$1-U4)*H4/365*J4*F4</f>
        <v>10445.711506849315</v>
      </c>
      <c r="W4" s="4">
        <f t="shared" si="3"/>
        <v>109433.86767123287</v>
      </c>
      <c r="X4" s="4">
        <f t="shared" si="4"/>
        <v>759000</v>
      </c>
      <c r="Y4" s="4">
        <f t="shared" si="10"/>
        <v>878879.57917808217</v>
      </c>
      <c r="Z4" s="4">
        <f t="shared" si="5"/>
        <v>26722.579178082175</v>
      </c>
      <c r="AA4" s="19">
        <f t="shared" si="11"/>
        <v>4874.4334832583672</v>
      </c>
      <c r="AB4" s="21">
        <f t="shared" si="6"/>
        <v>5.7201120019648574E-3</v>
      </c>
      <c r="AC4" s="4">
        <f t="shared" si="12"/>
        <v>6280.4823057000003</v>
      </c>
      <c r="AD4" s="4"/>
      <c r="AE4" t="s">
        <v>124</v>
      </c>
      <c r="AF4" s="6">
        <f>SUM(L2:L34)</f>
        <v>14456040</v>
      </c>
    </row>
    <row r="5" spans="1:35" x14ac:dyDescent="0.2">
      <c r="A5" t="s">
        <v>115</v>
      </c>
      <c r="B5" t="s">
        <v>116</v>
      </c>
      <c r="C5" t="s">
        <v>11</v>
      </c>
      <c r="D5" t="s">
        <v>43</v>
      </c>
      <c r="F5" s="9">
        <v>1</v>
      </c>
      <c r="G5" t="s">
        <v>0</v>
      </c>
      <c r="H5" s="1">
        <v>1.4999999999999999E-2</v>
      </c>
      <c r="I5" s="3">
        <v>42355</v>
      </c>
      <c r="J5" s="9">
        <f>N5</f>
        <v>545062</v>
      </c>
      <c r="L5" s="4">
        <v>540000</v>
      </c>
      <c r="M5" s="4"/>
      <c r="N5" s="4">
        <v>545062</v>
      </c>
      <c r="O5" s="1">
        <v>3.6200000000000003E-2</v>
      </c>
      <c r="P5" s="11">
        <f t="shared" ref="P5" si="13">L5/J5</f>
        <v>0.9907129831101783</v>
      </c>
      <c r="Q5" s="29">
        <f t="shared" si="7"/>
        <v>0.9907129831101783</v>
      </c>
      <c r="R5" s="10">
        <f t="shared" si="1"/>
        <v>1</v>
      </c>
      <c r="S5" s="29">
        <f t="shared" si="8"/>
        <v>1</v>
      </c>
      <c r="T5">
        <f t="shared" si="2"/>
        <v>139</v>
      </c>
      <c r="U5" s="22">
        <f t="shared" si="9"/>
        <v>41990</v>
      </c>
      <c r="V5" s="26">
        <v>0</v>
      </c>
      <c r="W5" s="4">
        <f t="shared" si="3"/>
        <v>3113.5733424657533</v>
      </c>
      <c r="X5" s="4">
        <f t="shared" si="4"/>
        <v>545062</v>
      </c>
      <c r="Y5" s="4">
        <f t="shared" si="10"/>
        <v>548175.5733424658</v>
      </c>
      <c r="Z5" s="4">
        <f t="shared" si="5"/>
        <v>3113.5733424657956</v>
      </c>
      <c r="AA5" s="19">
        <f t="shared" si="11"/>
        <v>8175.9300000001112</v>
      </c>
      <c r="AB5" s="24">
        <f t="shared" si="6"/>
        <v>1.5000000000000204E-2</v>
      </c>
      <c r="AC5" s="4">
        <f t="shared" si="12"/>
        <v>4017.1614462000002</v>
      </c>
      <c r="AD5" s="4"/>
      <c r="AE5" t="s">
        <v>125</v>
      </c>
      <c r="AF5" s="12">
        <f>(AF3-AF4)/AF4</f>
        <v>4.1789106837003771E-2</v>
      </c>
    </row>
    <row r="6" spans="1:35" x14ac:dyDescent="0.2">
      <c r="A6" t="s">
        <v>79</v>
      </c>
      <c r="B6" t="s">
        <v>32</v>
      </c>
      <c r="C6" t="s">
        <v>11</v>
      </c>
      <c r="D6" t="s">
        <v>29</v>
      </c>
      <c r="E6" t="s">
        <v>35</v>
      </c>
      <c r="F6" s="9">
        <v>1000</v>
      </c>
      <c r="G6" t="s">
        <v>0</v>
      </c>
      <c r="H6" s="1">
        <v>3.3799999999999997E-2</v>
      </c>
      <c r="I6" s="3">
        <v>45313</v>
      </c>
      <c r="J6">
        <v>376</v>
      </c>
      <c r="K6">
        <v>998.55</v>
      </c>
      <c r="L6" s="4">
        <v>375456</v>
      </c>
      <c r="M6" s="4">
        <v>1198.57</v>
      </c>
      <c r="N6" s="4">
        <v>450662</v>
      </c>
      <c r="O6" s="1">
        <v>0.03</v>
      </c>
      <c r="P6" s="11">
        <f t="shared" si="0"/>
        <v>998.55319148936167</v>
      </c>
      <c r="Q6" s="29">
        <f t="shared" si="7"/>
        <v>0.99855319148936161</v>
      </c>
      <c r="R6" s="10">
        <f t="shared" si="1"/>
        <v>1198.5691489361702</v>
      </c>
      <c r="S6" s="29">
        <f t="shared" si="8"/>
        <v>1.1985691489361703</v>
      </c>
      <c r="T6">
        <f t="shared" si="2"/>
        <v>3097</v>
      </c>
      <c r="U6" s="22">
        <f t="shared" si="9"/>
        <v>42026</v>
      </c>
      <c r="V6" s="25">
        <f t="shared" ref="V6:V14" si="14">($AF$1-U6)*H6/365*J6*F6</f>
        <v>6615.5397260273976</v>
      </c>
      <c r="W6" s="4">
        <f t="shared" si="3"/>
        <v>107833.29753424657</v>
      </c>
      <c r="X6" s="4">
        <f t="shared" si="4"/>
        <v>376000</v>
      </c>
      <c r="Y6" s="4">
        <f t="shared" si="10"/>
        <v>490448.83726027398</v>
      </c>
      <c r="Z6" s="4">
        <f t="shared" si="5"/>
        <v>39786.837260273984</v>
      </c>
      <c r="AA6" s="19">
        <f t="shared" si="11"/>
        <v>4689.1170810461754</v>
      </c>
      <c r="AB6" s="21">
        <f t="shared" si="6"/>
        <v>1.0404953337637022E-2</v>
      </c>
      <c r="AC6" s="4">
        <f t="shared" si="12"/>
        <v>3321.4240061999999</v>
      </c>
      <c r="AD6" s="4"/>
      <c r="AE6" t="s">
        <v>131</v>
      </c>
      <c r="AF6" t="s">
        <v>134</v>
      </c>
    </row>
    <row r="7" spans="1:35" x14ac:dyDescent="0.2">
      <c r="A7" t="s">
        <v>85</v>
      </c>
      <c r="B7" t="s">
        <v>42</v>
      </c>
      <c r="C7" t="s">
        <v>11</v>
      </c>
      <c r="D7" t="s">
        <v>43</v>
      </c>
      <c r="E7" t="s">
        <v>45</v>
      </c>
      <c r="F7" s="9">
        <v>1000</v>
      </c>
      <c r="G7" t="s">
        <v>0</v>
      </c>
      <c r="H7" s="1">
        <v>2.8000000000000001E-2</v>
      </c>
      <c r="I7" s="3">
        <v>43973</v>
      </c>
      <c r="J7">
        <v>420</v>
      </c>
      <c r="K7">
        <v>971.75</v>
      </c>
      <c r="L7" s="4">
        <v>408134</v>
      </c>
      <c r="M7" s="4">
        <v>1060.46</v>
      </c>
      <c r="N7" s="4">
        <v>445391</v>
      </c>
      <c r="O7" s="1">
        <v>2.9600000000000001E-2</v>
      </c>
      <c r="P7" s="11">
        <f t="shared" si="0"/>
        <v>971.74761904761908</v>
      </c>
      <c r="Q7" s="29">
        <f t="shared" si="7"/>
        <v>0.97174761904761908</v>
      </c>
      <c r="R7" s="10">
        <f t="shared" si="1"/>
        <v>1060.4547619047619</v>
      </c>
      <c r="S7" s="29">
        <f t="shared" si="8"/>
        <v>1.060454761904762</v>
      </c>
      <c r="T7">
        <f t="shared" si="2"/>
        <v>1757</v>
      </c>
      <c r="U7" s="22">
        <f t="shared" si="9"/>
        <v>42146</v>
      </c>
      <c r="V7" s="25">
        <f t="shared" si="14"/>
        <v>2255.3424657534247</v>
      </c>
      <c r="W7" s="4">
        <f t="shared" si="3"/>
        <v>56609.095890410965</v>
      </c>
      <c r="X7" s="4">
        <f t="shared" si="4"/>
        <v>420000</v>
      </c>
      <c r="Y7" s="4">
        <f t="shared" si="10"/>
        <v>478864.43835616438</v>
      </c>
      <c r="Z7" s="4">
        <f t="shared" si="5"/>
        <v>33473.438356164377</v>
      </c>
      <c r="AA7" s="19">
        <f t="shared" si="11"/>
        <v>6953.7877063175856</v>
      </c>
      <c r="AB7" s="21">
        <f t="shared" si="6"/>
        <v>1.5612771040091932E-2</v>
      </c>
      <c r="AC7" s="4">
        <f t="shared" si="12"/>
        <v>3282.5762091000001</v>
      </c>
      <c r="AD7" s="4"/>
      <c r="AE7" t="s">
        <v>132</v>
      </c>
      <c r="AF7" s="18" t="s">
        <v>127</v>
      </c>
      <c r="AH7" s="18" t="s">
        <v>145</v>
      </c>
      <c r="AI7" s="18">
        <v>1.22089</v>
      </c>
    </row>
    <row r="8" spans="1:35" x14ac:dyDescent="0.2">
      <c r="A8" t="s">
        <v>90</v>
      </c>
      <c r="B8" t="s">
        <v>52</v>
      </c>
      <c r="C8" t="s">
        <v>11</v>
      </c>
      <c r="D8" t="s">
        <v>53</v>
      </c>
      <c r="E8" t="s">
        <v>55</v>
      </c>
      <c r="F8" s="9">
        <v>1</v>
      </c>
      <c r="G8" t="s">
        <v>0</v>
      </c>
      <c r="H8" s="1">
        <v>3.3799999999999997E-2</v>
      </c>
      <c r="I8" s="3">
        <v>45611</v>
      </c>
      <c r="J8">
        <v>350000</v>
      </c>
      <c r="K8">
        <v>1.06</v>
      </c>
      <c r="L8" s="4">
        <v>370771</v>
      </c>
      <c r="M8" s="4">
        <v>1.24</v>
      </c>
      <c r="N8" s="4">
        <v>435175</v>
      </c>
      <c r="O8" s="1">
        <v>2.8899999999999999E-2</v>
      </c>
      <c r="P8" s="11">
        <f t="shared" si="0"/>
        <v>1.0593457142857143</v>
      </c>
      <c r="Q8" s="29">
        <f t="shared" si="7"/>
        <v>1.0593457142857143</v>
      </c>
      <c r="R8" s="10">
        <f t="shared" si="1"/>
        <v>1.2433571428571428</v>
      </c>
      <c r="S8" s="29">
        <f t="shared" si="8"/>
        <v>1.2433571428571428</v>
      </c>
      <c r="T8">
        <f t="shared" si="2"/>
        <v>3395</v>
      </c>
      <c r="U8" s="22">
        <f t="shared" si="9"/>
        <v>41958</v>
      </c>
      <c r="V8" s="25">
        <f t="shared" si="14"/>
        <v>8362.0273972602736</v>
      </c>
      <c r="W8" s="4">
        <f t="shared" si="3"/>
        <v>110035.20547945205</v>
      </c>
      <c r="X8" s="4">
        <f t="shared" si="4"/>
        <v>350000</v>
      </c>
      <c r="Y8" s="4">
        <f t="shared" si="10"/>
        <v>468397.23287671234</v>
      </c>
      <c r="Z8" s="4">
        <f t="shared" si="5"/>
        <v>33222.23287671234</v>
      </c>
      <c r="AA8" s="19">
        <f t="shared" si="11"/>
        <v>3571.7569955817389</v>
      </c>
      <c r="AB8" s="21">
        <f t="shared" si="6"/>
        <v>8.2076337004233675E-3</v>
      </c>
      <c r="AC8" s="4">
        <f t="shared" si="12"/>
        <v>3207.2832675</v>
      </c>
      <c r="AD8" s="4"/>
      <c r="AE8" s="18" t="s">
        <v>129</v>
      </c>
      <c r="AF8" s="18">
        <v>0.69825000000000004</v>
      </c>
      <c r="AH8" s="18" t="s">
        <v>146</v>
      </c>
      <c r="AI8" s="18">
        <v>115</v>
      </c>
    </row>
    <row r="9" spans="1:35" x14ac:dyDescent="0.2">
      <c r="A9" t="s">
        <v>82</v>
      </c>
      <c r="B9" t="s">
        <v>1</v>
      </c>
      <c r="C9" t="s">
        <v>6</v>
      </c>
      <c r="D9" t="s">
        <v>38</v>
      </c>
      <c r="E9" t="s">
        <v>39</v>
      </c>
      <c r="F9" s="9">
        <v>1000</v>
      </c>
      <c r="G9" t="s">
        <v>0</v>
      </c>
      <c r="H9" s="1">
        <v>2.75E-2</v>
      </c>
      <c r="I9" s="3">
        <v>42569</v>
      </c>
      <c r="J9">
        <v>400</v>
      </c>
      <c r="K9">
        <v>1047.52</v>
      </c>
      <c r="L9" s="4">
        <v>419008</v>
      </c>
      <c r="M9" s="4">
        <v>1028.58</v>
      </c>
      <c r="N9" s="4">
        <v>411431</v>
      </c>
      <c r="O9" s="1">
        <v>2.7400000000000001E-2</v>
      </c>
      <c r="P9" s="11">
        <f t="shared" si="0"/>
        <v>1047.52</v>
      </c>
      <c r="Q9" s="29">
        <f t="shared" si="7"/>
        <v>1.04752</v>
      </c>
      <c r="R9" s="10">
        <f t="shared" si="1"/>
        <v>1028.5775000000001</v>
      </c>
      <c r="S9" s="29">
        <f t="shared" si="8"/>
        <v>1.0285775000000001</v>
      </c>
      <c r="T9">
        <f t="shared" si="2"/>
        <v>353</v>
      </c>
      <c r="U9" s="22">
        <f t="shared" si="9"/>
        <v>42203</v>
      </c>
      <c r="V9" s="25">
        <f t="shared" si="14"/>
        <v>391.78082191780823</v>
      </c>
      <c r="W9" s="4">
        <f t="shared" si="3"/>
        <v>10638.35616438356</v>
      </c>
      <c r="X9" s="4">
        <f t="shared" si="4"/>
        <v>400000</v>
      </c>
      <c r="Y9" s="4">
        <f t="shared" si="10"/>
        <v>411030.1369863014</v>
      </c>
      <c r="Z9" s="4">
        <f t="shared" si="5"/>
        <v>-400.86301369860303</v>
      </c>
      <c r="AA9" s="19">
        <f t="shared" si="11"/>
        <v>-414.4900849858077</v>
      </c>
      <c r="AB9" s="24">
        <f t="shared" si="6"/>
        <v>-1.0074352321186486E-3</v>
      </c>
      <c r="AC9" s="4">
        <f t="shared" si="12"/>
        <v>3032.2876130999998</v>
      </c>
      <c r="AD9" s="4"/>
      <c r="AE9" s="18" t="s">
        <v>130</v>
      </c>
      <c r="AF9" s="18">
        <v>0.57750999999999997</v>
      </c>
      <c r="AH9" t="s">
        <v>148</v>
      </c>
      <c r="AI9" s="3">
        <v>42260</v>
      </c>
    </row>
    <row r="10" spans="1:35" x14ac:dyDescent="0.2">
      <c r="A10" t="s">
        <v>70</v>
      </c>
      <c r="B10" t="s">
        <v>13</v>
      </c>
      <c r="C10" t="s">
        <v>11</v>
      </c>
      <c r="D10" t="s">
        <v>14</v>
      </c>
      <c r="E10" t="s">
        <v>15</v>
      </c>
      <c r="F10" s="9">
        <v>1000</v>
      </c>
      <c r="G10" t="s">
        <v>0</v>
      </c>
      <c r="H10" s="1">
        <v>4.6300000000000001E-2</v>
      </c>
      <c r="I10" s="3">
        <v>43293</v>
      </c>
      <c r="J10">
        <v>342</v>
      </c>
      <c r="K10">
        <v>1064.08</v>
      </c>
      <c r="L10" s="4">
        <v>363915</v>
      </c>
      <c r="M10" s="4">
        <v>1124.4000000000001</v>
      </c>
      <c r="N10" s="4">
        <v>384545</v>
      </c>
      <c r="O10" s="1">
        <v>2.5600000000000001E-2</v>
      </c>
      <c r="P10" s="11">
        <f t="shared" si="0"/>
        <v>1064.078947368421</v>
      </c>
      <c r="Q10" s="29">
        <f t="shared" si="7"/>
        <v>1.0640789473684211</v>
      </c>
      <c r="R10" s="10">
        <f t="shared" si="1"/>
        <v>1124.4005847953217</v>
      </c>
      <c r="S10" s="29">
        <f t="shared" si="8"/>
        <v>1.1244005847953218</v>
      </c>
      <c r="T10">
        <f t="shared" si="2"/>
        <v>1077</v>
      </c>
      <c r="U10" s="22">
        <f t="shared" si="9"/>
        <v>42197</v>
      </c>
      <c r="V10" s="25">
        <f t="shared" si="14"/>
        <v>824.26684931506838</v>
      </c>
      <c r="W10" s="4">
        <f t="shared" si="3"/>
        <v>46722.91561643836</v>
      </c>
      <c r="X10" s="4">
        <f t="shared" si="4"/>
        <v>342000</v>
      </c>
      <c r="Y10" s="4">
        <f t="shared" si="10"/>
        <v>389547.18246575346</v>
      </c>
      <c r="Z10" s="4">
        <f t="shared" si="5"/>
        <v>5002.1824657534598</v>
      </c>
      <c r="AA10" s="19">
        <f t="shared" si="11"/>
        <v>1695.2614670380806</v>
      </c>
      <c r="AB10" s="21">
        <f t="shared" si="6"/>
        <v>4.4084865673408328E-3</v>
      </c>
      <c r="AC10" s="4">
        <f t="shared" si="12"/>
        <v>2834.1351045000001</v>
      </c>
      <c r="AD10" s="4"/>
      <c r="AE10" t="s">
        <v>133</v>
      </c>
      <c r="AH10" t="s">
        <v>147</v>
      </c>
      <c r="AI10" s="3">
        <f>AI9-AI8</f>
        <v>42145</v>
      </c>
    </row>
    <row r="11" spans="1:35" x14ac:dyDescent="0.2">
      <c r="A11" t="s">
        <v>88</v>
      </c>
      <c r="B11" t="s">
        <v>42</v>
      </c>
      <c r="C11" t="s">
        <v>11</v>
      </c>
      <c r="D11" t="s">
        <v>50</v>
      </c>
      <c r="E11" t="s">
        <v>51</v>
      </c>
      <c r="F11" s="9">
        <v>1000</v>
      </c>
      <c r="G11" t="s">
        <v>0</v>
      </c>
      <c r="H11" s="1">
        <v>2.8799999999999999E-2</v>
      </c>
      <c r="I11" s="3">
        <v>45593</v>
      </c>
      <c r="J11">
        <v>360</v>
      </c>
      <c r="K11">
        <v>991.69</v>
      </c>
      <c r="L11" s="4">
        <v>357007</v>
      </c>
      <c r="M11" s="4">
        <v>1043.74</v>
      </c>
      <c r="N11" s="4">
        <v>375746</v>
      </c>
      <c r="O11" s="1">
        <v>2.5000000000000001E-2</v>
      </c>
      <c r="P11" s="11">
        <f t="shared" si="0"/>
        <v>991.68611111111113</v>
      </c>
      <c r="Q11" s="29">
        <f t="shared" si="7"/>
        <v>0.99168611111111116</v>
      </c>
      <c r="R11" s="10">
        <f t="shared" si="1"/>
        <v>1043.7388888888888</v>
      </c>
      <c r="S11" s="29">
        <f t="shared" si="8"/>
        <v>1.0437388888888888</v>
      </c>
      <c r="T11">
        <f t="shared" si="2"/>
        <v>3377</v>
      </c>
      <c r="U11" s="22">
        <f t="shared" si="9"/>
        <v>41940</v>
      </c>
      <c r="V11" s="25">
        <f t="shared" si="14"/>
        <v>7839.9123287671227</v>
      </c>
      <c r="W11" s="4">
        <f t="shared" si="3"/>
        <v>95925.304109589037</v>
      </c>
      <c r="X11" s="4">
        <f t="shared" si="4"/>
        <v>360000</v>
      </c>
      <c r="Y11" s="4">
        <f t="shared" si="10"/>
        <v>463765.21643835615</v>
      </c>
      <c r="Z11" s="4">
        <f t="shared" si="5"/>
        <v>88019.216438356147</v>
      </c>
      <c r="AA11" s="19">
        <f t="shared" si="11"/>
        <v>9513.4776428782916</v>
      </c>
      <c r="AB11" s="24">
        <f t="shared" si="6"/>
        <v>2.5318905970731002E-2</v>
      </c>
      <c r="AC11" s="4">
        <f t="shared" si="12"/>
        <v>2769.2855946</v>
      </c>
      <c r="AD11" s="4"/>
      <c r="AE11" s="18" t="s">
        <v>135</v>
      </c>
      <c r="AF11" s="18" t="s">
        <v>136</v>
      </c>
    </row>
    <row r="12" spans="1:35" x14ac:dyDescent="0.2">
      <c r="A12" t="s">
        <v>66</v>
      </c>
      <c r="B12" t="s">
        <v>5</v>
      </c>
      <c r="C12" t="s">
        <v>6</v>
      </c>
      <c r="D12" t="s">
        <v>3</v>
      </c>
      <c r="E12" t="s">
        <v>7</v>
      </c>
      <c r="F12" s="9">
        <v>1000</v>
      </c>
      <c r="G12" t="s">
        <v>0</v>
      </c>
      <c r="H12" s="1">
        <v>2.75E-2</v>
      </c>
      <c r="I12" s="3">
        <v>44655</v>
      </c>
      <c r="J12">
        <v>280</v>
      </c>
      <c r="K12">
        <v>1102.5999999999999</v>
      </c>
      <c r="L12" s="4">
        <v>308728</v>
      </c>
      <c r="M12" s="4">
        <v>1162.97</v>
      </c>
      <c r="N12" s="4">
        <v>325630</v>
      </c>
      <c r="O12" s="1">
        <v>2.1700000000000001E-2</v>
      </c>
      <c r="P12" s="11">
        <f t="shared" si="0"/>
        <v>1102.5999999999999</v>
      </c>
      <c r="Q12" s="29">
        <f t="shared" si="7"/>
        <v>1.1025999999999998</v>
      </c>
      <c r="R12" s="10">
        <f t="shared" si="1"/>
        <v>1162.9642857142858</v>
      </c>
      <c r="S12" s="29">
        <f t="shared" si="8"/>
        <v>1.1629642857142857</v>
      </c>
      <c r="T12">
        <f t="shared" si="2"/>
        <v>2439</v>
      </c>
      <c r="U12" s="22">
        <f t="shared" si="9"/>
        <v>42098</v>
      </c>
      <c r="V12" s="25">
        <f t="shared" si="14"/>
        <v>2489.3150684931511</v>
      </c>
      <c r="W12" s="4">
        <f t="shared" si="3"/>
        <v>51452.876712328776</v>
      </c>
      <c r="X12" s="4">
        <f t="shared" si="4"/>
        <v>280000</v>
      </c>
      <c r="Y12" s="4">
        <f t="shared" si="10"/>
        <v>333942.19178082189</v>
      </c>
      <c r="Z12" s="4">
        <f t="shared" si="5"/>
        <v>8312.1917808218859</v>
      </c>
      <c r="AA12" s="19">
        <f t="shared" si="11"/>
        <v>1243.9319393193884</v>
      </c>
      <c r="AB12" s="21">
        <f t="shared" si="6"/>
        <v>3.8200778162926895E-3</v>
      </c>
      <c r="AC12" s="4">
        <f t="shared" si="12"/>
        <v>2399.925663</v>
      </c>
      <c r="AD12" s="4"/>
      <c r="AE12" s="18" t="s">
        <v>129</v>
      </c>
      <c r="AF12" s="18">
        <v>0.76641999999999999</v>
      </c>
      <c r="AH12" s="18" t="s">
        <v>145</v>
      </c>
      <c r="AI12" s="18">
        <v>1.7116400000000001</v>
      </c>
    </row>
    <row r="13" spans="1:35" x14ac:dyDescent="0.2">
      <c r="A13" t="s">
        <v>69</v>
      </c>
      <c r="B13" t="s">
        <v>10</v>
      </c>
      <c r="C13" t="s">
        <v>11</v>
      </c>
      <c r="D13" t="s">
        <v>3</v>
      </c>
      <c r="E13" t="s">
        <v>12</v>
      </c>
      <c r="F13" s="9">
        <v>50000</v>
      </c>
      <c r="G13" t="s">
        <v>0</v>
      </c>
      <c r="H13" s="1">
        <v>0.03</v>
      </c>
      <c r="I13" s="3">
        <v>43131</v>
      </c>
      <c r="J13">
        <v>6</v>
      </c>
      <c r="K13">
        <v>55678.04</v>
      </c>
      <c r="L13" s="4">
        <v>334068</v>
      </c>
      <c r="M13" s="4">
        <v>54378.84</v>
      </c>
      <c r="N13" s="4">
        <v>326273</v>
      </c>
      <c r="O13" s="1">
        <v>2.1700000000000001E-2</v>
      </c>
      <c r="P13" s="11">
        <f t="shared" si="0"/>
        <v>55678</v>
      </c>
      <c r="Q13" s="29">
        <f t="shared" si="7"/>
        <v>1.1135600000000001</v>
      </c>
      <c r="R13" s="10">
        <f t="shared" si="1"/>
        <v>54378.833333333336</v>
      </c>
      <c r="S13" s="29">
        <f t="shared" si="8"/>
        <v>1.0875766666666666</v>
      </c>
      <c r="T13">
        <f t="shared" si="2"/>
        <v>915</v>
      </c>
      <c r="U13" s="22">
        <f t="shared" si="9"/>
        <v>42035</v>
      </c>
      <c r="V13" s="25">
        <f t="shared" si="14"/>
        <v>4463.0136986301368</v>
      </c>
      <c r="W13" s="4">
        <f t="shared" si="3"/>
        <v>22561.643835616436</v>
      </c>
      <c r="X13" s="4">
        <f t="shared" si="4"/>
        <v>300000</v>
      </c>
      <c r="Y13" s="4">
        <f t="shared" si="10"/>
        <v>327024.65753424657</v>
      </c>
      <c r="Z13" s="4">
        <f t="shared" si="5"/>
        <v>751.65753424656577</v>
      </c>
      <c r="AA13" s="19">
        <f t="shared" si="11"/>
        <v>299.841530054641</v>
      </c>
      <c r="AB13" s="21">
        <f t="shared" si="6"/>
        <v>9.189897112376476E-4</v>
      </c>
      <c r="AC13" s="4">
        <f t="shared" si="12"/>
        <v>2404.6646372999999</v>
      </c>
      <c r="AD13" s="4"/>
      <c r="AE13" s="18" t="s">
        <v>130</v>
      </c>
      <c r="AF13" s="18">
        <v>0.43513000000000002</v>
      </c>
      <c r="AH13" s="18" t="s">
        <v>146</v>
      </c>
      <c r="AI13" s="18">
        <v>238</v>
      </c>
    </row>
    <row r="14" spans="1:35" x14ac:dyDescent="0.2">
      <c r="A14" t="s">
        <v>71</v>
      </c>
      <c r="B14" t="s">
        <v>16</v>
      </c>
      <c r="C14" t="s">
        <v>11</v>
      </c>
      <c r="D14" t="s">
        <v>17</v>
      </c>
      <c r="E14" t="s">
        <v>18</v>
      </c>
      <c r="F14" s="9">
        <v>1000</v>
      </c>
      <c r="G14" t="s">
        <v>0</v>
      </c>
      <c r="H14" s="1">
        <v>2.75E-2</v>
      </c>
      <c r="I14" s="3">
        <v>44155</v>
      </c>
      <c r="J14">
        <v>300</v>
      </c>
      <c r="K14">
        <v>1015.66</v>
      </c>
      <c r="L14" s="4">
        <v>304699</v>
      </c>
      <c r="M14" s="4">
        <v>1088.56</v>
      </c>
      <c r="N14" s="4">
        <v>326568</v>
      </c>
      <c r="O14" s="1">
        <v>2.1700000000000001E-2</v>
      </c>
      <c r="P14" s="11">
        <f t="shared" si="0"/>
        <v>1015.6633333333333</v>
      </c>
      <c r="Q14" s="29">
        <f t="shared" si="7"/>
        <v>1.0156633333333334</v>
      </c>
      <c r="R14" s="10">
        <f t="shared" si="1"/>
        <v>1088.56</v>
      </c>
      <c r="S14" s="29">
        <f t="shared" si="8"/>
        <v>1.08856</v>
      </c>
      <c r="T14">
        <f t="shared" si="2"/>
        <v>1939</v>
      </c>
      <c r="U14" s="23">
        <f>DATE(2015,MONTH(I14),DAY(I14))-183</f>
        <v>42145</v>
      </c>
      <c r="V14" s="25">
        <f t="shared" si="14"/>
        <v>1604.7945205479452</v>
      </c>
      <c r="W14" s="4">
        <f t="shared" si="3"/>
        <v>43826.71232876712</v>
      </c>
      <c r="X14" s="4">
        <f t="shared" si="4"/>
        <v>300000</v>
      </c>
      <c r="Y14" s="4">
        <f t="shared" si="10"/>
        <v>345431.50684931508</v>
      </c>
      <c r="Z14" s="4">
        <f t="shared" si="5"/>
        <v>18863.506849315076</v>
      </c>
      <c r="AA14" s="19">
        <f t="shared" si="11"/>
        <v>3550.8922124806613</v>
      </c>
      <c r="AB14" s="21">
        <f t="shared" si="6"/>
        <v>1.0873362400727142E-2</v>
      </c>
      <c r="AC14" s="4">
        <f t="shared" si="12"/>
        <v>2406.8388168000001</v>
      </c>
      <c r="AD14" s="4"/>
      <c r="AE14" s="18" t="s">
        <v>140</v>
      </c>
      <c r="AF14" s="18">
        <v>1.1200000000000001</v>
      </c>
      <c r="AH14" t="s">
        <v>148</v>
      </c>
      <c r="AI14" s="3">
        <v>42260</v>
      </c>
    </row>
    <row r="15" spans="1:35" x14ac:dyDescent="0.2">
      <c r="A15" t="s">
        <v>74</v>
      </c>
      <c r="B15" t="s">
        <v>10</v>
      </c>
      <c r="C15" t="s">
        <v>11</v>
      </c>
      <c r="D15" t="s">
        <v>25</v>
      </c>
      <c r="E15" t="s">
        <v>26</v>
      </c>
      <c r="F15" s="9">
        <v>1000</v>
      </c>
      <c r="G15" t="s">
        <v>27</v>
      </c>
      <c r="H15" s="1">
        <v>4.4999999999999998E-2</v>
      </c>
      <c r="I15" s="3">
        <v>44581</v>
      </c>
      <c r="J15">
        <v>300</v>
      </c>
      <c r="K15">
        <v>1153.94</v>
      </c>
      <c r="L15" s="4">
        <v>266069</v>
      </c>
      <c r="M15" s="4">
        <v>1112.25</v>
      </c>
      <c r="N15" s="4">
        <v>303645</v>
      </c>
      <c r="O15" s="1">
        <v>2.0199999999999999E-2</v>
      </c>
      <c r="P15" s="11">
        <f t="shared" si="0"/>
        <v>886.89666666666665</v>
      </c>
      <c r="Q15" s="29">
        <f t="shared" si="7"/>
        <v>0.88689666666666667</v>
      </c>
      <c r="R15" s="10">
        <f t="shared" si="1"/>
        <v>1012.15</v>
      </c>
      <c r="S15" s="29">
        <f t="shared" si="8"/>
        <v>1.0121499999999999</v>
      </c>
      <c r="T15">
        <f t="shared" si="2"/>
        <v>2365</v>
      </c>
      <c r="U15" s="22">
        <f>DATE(IF(MONTH(I15)&gt;7,2014,2015),MONTH(I15),DAY(I15))</f>
        <v>42024</v>
      </c>
      <c r="V15" s="25">
        <f>($AF$1-U15)*H15/365*J15*F15/$AF$14</f>
        <v>6340.5088062622308</v>
      </c>
      <c r="W15" s="4">
        <f>T15*H15/365*J15*F15/$AF$14</f>
        <v>78100.538160469645</v>
      </c>
      <c r="X15" s="4">
        <f>F15*J15/$AF$14</f>
        <v>267857.14285714284</v>
      </c>
      <c r="Y15" s="4">
        <f t="shared" si="10"/>
        <v>352298.18982387468</v>
      </c>
      <c r="Z15" s="4">
        <f t="shared" si="5"/>
        <v>48653.18982387468</v>
      </c>
      <c r="AA15" s="19">
        <f t="shared" si="11"/>
        <v>7508.8432497734702</v>
      </c>
      <c r="AB15" s="24">
        <f t="shared" si="6"/>
        <v>2.472901990737035E-2</v>
      </c>
      <c r="AC15" s="4">
        <f t="shared" si="12"/>
        <v>2237.8940145000001</v>
      </c>
      <c r="AD15" s="4"/>
      <c r="AE15" s="18" t="s">
        <v>142</v>
      </c>
      <c r="AF15" s="6">
        <f>SUM(Z2:Z34)</f>
        <v>486875.70580006141</v>
      </c>
      <c r="AH15" t="s">
        <v>147</v>
      </c>
      <c r="AI15" s="3">
        <f>AI14-AI13</f>
        <v>42022</v>
      </c>
    </row>
    <row r="16" spans="1:35" x14ac:dyDescent="0.2">
      <c r="A16" t="s">
        <v>83</v>
      </c>
      <c r="B16" t="s">
        <v>40</v>
      </c>
      <c r="C16" t="s">
        <v>11</v>
      </c>
      <c r="D16" t="s">
        <v>38</v>
      </c>
      <c r="E16" t="s">
        <v>41</v>
      </c>
      <c r="F16" s="9">
        <v>1000</v>
      </c>
      <c r="G16" t="s">
        <v>0</v>
      </c>
      <c r="H16" s="1">
        <v>0.01</v>
      </c>
      <c r="I16" s="3">
        <v>42417</v>
      </c>
      <c r="J16">
        <v>302</v>
      </c>
      <c r="K16">
        <v>1018.51</v>
      </c>
      <c r="L16" s="4">
        <v>307591</v>
      </c>
      <c r="M16" s="4">
        <v>1007.23</v>
      </c>
      <c r="N16" s="4">
        <v>304183</v>
      </c>
      <c r="O16" s="1">
        <v>2.0199999999999999E-2</v>
      </c>
      <c r="P16" s="11">
        <f t="shared" si="0"/>
        <v>1018.5132450331126</v>
      </c>
      <c r="Q16" s="29">
        <f t="shared" si="7"/>
        <v>1.0185132450331127</v>
      </c>
      <c r="R16" s="10">
        <f t="shared" si="1"/>
        <v>1007.2284768211921</v>
      </c>
      <c r="S16" s="29">
        <f t="shared" si="8"/>
        <v>1.0072284768211921</v>
      </c>
      <c r="T16">
        <f t="shared" si="2"/>
        <v>201</v>
      </c>
      <c r="U16" s="22">
        <f>DATE(IF(MONTH(I16)&gt;7,2014,2015),MONTH(I16),DAY(I16))</f>
        <v>42052</v>
      </c>
      <c r="V16" s="25">
        <f t="shared" ref="V16:V34" si="15">($AF$1-U16)*H16/365*J16*F16</f>
        <v>1356.9315068493152</v>
      </c>
      <c r="W16" s="4">
        <f t="shared" ref="W16:W34" si="16">T16*H16/365*J16*F16</f>
        <v>1663.0684931506851</v>
      </c>
      <c r="X16" s="4">
        <f t="shared" ref="X16:X34" si="17">F16*J16</f>
        <v>302000</v>
      </c>
      <c r="Y16" s="4">
        <f t="shared" si="10"/>
        <v>305020</v>
      </c>
      <c r="Z16" s="4">
        <f t="shared" si="5"/>
        <v>837</v>
      </c>
      <c r="AA16" s="19">
        <f t="shared" si="11"/>
        <v>1519.9253731343285</v>
      </c>
      <c r="AB16" s="21">
        <f t="shared" si="6"/>
        <v>4.9967466069252018E-3</v>
      </c>
      <c r="AC16" s="4">
        <f t="shared" si="12"/>
        <v>2241.8591283000001</v>
      </c>
      <c r="AD16" s="4"/>
      <c r="AE16" s="18" t="s">
        <v>143</v>
      </c>
      <c r="AF16" s="12">
        <f>AF15/AF3</f>
        <v>3.2328752863937327E-2</v>
      </c>
    </row>
    <row r="17" spans="1:32" x14ac:dyDescent="0.2">
      <c r="A17" t="s">
        <v>73</v>
      </c>
      <c r="B17" t="s">
        <v>22</v>
      </c>
      <c r="C17" t="s">
        <v>11</v>
      </c>
      <c r="D17" t="s">
        <v>23</v>
      </c>
      <c r="E17" t="s">
        <v>24</v>
      </c>
      <c r="F17" s="9">
        <v>1000</v>
      </c>
      <c r="G17" t="s">
        <v>0</v>
      </c>
      <c r="H17" s="1">
        <v>3.6299999999999999E-2</v>
      </c>
      <c r="I17" s="3">
        <v>45076</v>
      </c>
      <c r="J17">
        <v>250</v>
      </c>
      <c r="K17">
        <v>1055.8599999999999</v>
      </c>
      <c r="L17" s="4">
        <v>263965</v>
      </c>
      <c r="M17" s="4">
        <v>1136.5999999999999</v>
      </c>
      <c r="N17" s="4">
        <v>284150</v>
      </c>
      <c r="O17" s="1">
        <v>1.89E-2</v>
      </c>
      <c r="P17" s="11">
        <f t="shared" si="0"/>
        <v>1055.8599999999999</v>
      </c>
      <c r="Q17" s="29">
        <f t="shared" si="7"/>
        <v>1.0558599999999998</v>
      </c>
      <c r="R17" s="10">
        <f t="shared" si="1"/>
        <v>1136.5999999999999</v>
      </c>
      <c r="S17" s="29">
        <f t="shared" si="8"/>
        <v>1.1365999999999998</v>
      </c>
      <c r="T17">
        <f t="shared" si="2"/>
        <v>2860</v>
      </c>
      <c r="U17" s="23">
        <f>DATE(IF(MONTH(I17)&gt;7,2014,2015),MONTH(I17),DAY(I17))+61</f>
        <v>42215</v>
      </c>
      <c r="V17" s="25">
        <f t="shared" si="15"/>
        <v>24.863013698630137</v>
      </c>
      <c r="W17" s="4">
        <f t="shared" si="16"/>
        <v>71108.219178082189</v>
      </c>
      <c r="X17" s="4">
        <f t="shared" si="17"/>
        <v>250000</v>
      </c>
      <c r="Y17" s="4">
        <f t="shared" si="10"/>
        <v>321133.08219178079</v>
      </c>
      <c r="Z17" s="4">
        <f t="shared" si="5"/>
        <v>36983.082191780792</v>
      </c>
      <c r="AA17" s="19">
        <f t="shared" si="11"/>
        <v>4719.8688811188777</v>
      </c>
      <c r="AB17" s="21">
        <f t="shared" si="6"/>
        <v>1.6610483480974405E-2</v>
      </c>
      <c r="AC17" s="4">
        <f t="shared" si="12"/>
        <v>2094.2139149999998</v>
      </c>
      <c r="AD17" s="4"/>
      <c r="AE17" s="18" t="s">
        <v>151</v>
      </c>
      <c r="AF17" s="12">
        <f>SUMPRODUCT(N2:N34,AB2:AB34)/SUM(N2:N34)</f>
        <v>5.4528711106576599E-3</v>
      </c>
    </row>
    <row r="18" spans="1:32" x14ac:dyDescent="0.2">
      <c r="A18" t="s">
        <v>87</v>
      </c>
      <c r="B18" t="s">
        <v>47</v>
      </c>
      <c r="C18" t="s">
        <v>6</v>
      </c>
      <c r="D18" t="s">
        <v>48</v>
      </c>
      <c r="E18" t="s">
        <v>49</v>
      </c>
      <c r="F18" s="9">
        <v>1000</v>
      </c>
      <c r="G18" t="s">
        <v>0</v>
      </c>
      <c r="H18" s="1">
        <v>2.3199999999999998E-2</v>
      </c>
      <c r="I18" s="3">
        <v>43488</v>
      </c>
      <c r="J18">
        <v>223</v>
      </c>
      <c r="K18">
        <v>1007.13</v>
      </c>
      <c r="L18" s="4">
        <v>224589</v>
      </c>
      <c r="M18" s="4">
        <v>1038.53</v>
      </c>
      <c r="N18" s="4">
        <v>231593</v>
      </c>
      <c r="O18" s="1">
        <v>1.54E-2</v>
      </c>
      <c r="P18" s="11">
        <f t="shared" si="0"/>
        <v>1007.1255605381166</v>
      </c>
      <c r="Q18" s="29">
        <f t="shared" si="7"/>
        <v>1.0071255605381166</v>
      </c>
      <c r="R18" s="10">
        <f t="shared" si="1"/>
        <v>1038.5336322869955</v>
      </c>
      <c r="S18" s="29">
        <f t="shared" si="8"/>
        <v>1.0385336322869956</v>
      </c>
      <c r="T18">
        <f t="shared" si="2"/>
        <v>1272</v>
      </c>
      <c r="U18" s="22">
        <f>DATE(IF(MONTH(I18)&gt;7,2014,2015),MONTH(I18),DAY(I18))</f>
        <v>42027</v>
      </c>
      <c r="V18" s="25">
        <f t="shared" si="15"/>
        <v>2678.9326027397256</v>
      </c>
      <c r="W18" s="4">
        <f t="shared" si="16"/>
        <v>18029.641643835617</v>
      </c>
      <c r="X18" s="4">
        <f t="shared" si="17"/>
        <v>223000</v>
      </c>
      <c r="Y18" s="4">
        <f t="shared" si="10"/>
        <v>243708.57424657533</v>
      </c>
      <c r="Z18" s="4">
        <f t="shared" si="5"/>
        <v>12115.574246575328</v>
      </c>
      <c r="AA18" s="19">
        <f t="shared" si="11"/>
        <v>3476.5602201257825</v>
      </c>
      <c r="AB18" s="21">
        <f t="shared" si="6"/>
        <v>1.5011508206749697E-2</v>
      </c>
      <c r="AC18" s="4">
        <f t="shared" si="12"/>
        <v>1706.8635693000001</v>
      </c>
      <c r="AD18" s="4"/>
      <c r="AE18" s="18" t="s">
        <v>160</v>
      </c>
      <c r="AF18" s="20">
        <f>SUMPRODUCT(N3:N33,AB3:AB33)/SUM(N3:N33)</f>
        <v>9.1795878753596349E-3</v>
      </c>
    </row>
    <row r="19" spans="1:32" x14ac:dyDescent="0.2">
      <c r="A19" t="s">
        <v>77</v>
      </c>
      <c r="B19" t="s">
        <v>32</v>
      </c>
      <c r="C19" t="s">
        <v>11</v>
      </c>
      <c r="D19" t="s">
        <v>29</v>
      </c>
      <c r="E19" t="s">
        <v>33</v>
      </c>
      <c r="F19" s="9">
        <v>1000</v>
      </c>
      <c r="G19" t="s">
        <v>0</v>
      </c>
      <c r="H19" s="1">
        <v>4.8500000000000001E-2</v>
      </c>
      <c r="I19" s="3">
        <v>43138</v>
      </c>
      <c r="J19">
        <v>185</v>
      </c>
      <c r="K19">
        <v>831.61</v>
      </c>
      <c r="L19" s="4">
        <v>153848</v>
      </c>
      <c r="M19" s="4">
        <v>1143.1199999999999</v>
      </c>
      <c r="N19" s="4">
        <v>211477</v>
      </c>
      <c r="O19" s="1">
        <v>1.41E-2</v>
      </c>
      <c r="P19" s="11">
        <f t="shared" si="0"/>
        <v>831.61081081081079</v>
      </c>
      <c r="Q19" s="29">
        <f t="shared" si="7"/>
        <v>0.83161081081081079</v>
      </c>
      <c r="R19" s="10">
        <f t="shared" si="1"/>
        <v>1143.118918918919</v>
      </c>
      <c r="S19" s="29">
        <f t="shared" si="8"/>
        <v>1.143118918918919</v>
      </c>
      <c r="T19">
        <f t="shared" si="2"/>
        <v>922</v>
      </c>
      <c r="U19" s="22">
        <f>DATE(IF(MONTH(I19)&gt;7,2014,2015),MONTH(I19),DAY(I19))</f>
        <v>42042</v>
      </c>
      <c r="V19" s="25">
        <f t="shared" si="15"/>
        <v>4277.3013698630139</v>
      </c>
      <c r="W19" s="4">
        <f t="shared" si="16"/>
        <v>22664.780821917808</v>
      </c>
      <c r="X19" s="4">
        <f t="shared" si="17"/>
        <v>185000</v>
      </c>
      <c r="Y19" s="4">
        <f t="shared" si="10"/>
        <v>211942.08219178082</v>
      </c>
      <c r="Z19" s="4">
        <f t="shared" si="5"/>
        <v>465.08219178082072</v>
      </c>
      <c r="AA19" s="19">
        <f t="shared" si="11"/>
        <v>184.11605206073705</v>
      </c>
      <c r="AB19" s="21">
        <f t="shared" si="6"/>
        <v>8.7061974616973504E-4</v>
      </c>
      <c r="AC19" s="4">
        <f t="shared" si="12"/>
        <v>1558.6066377</v>
      </c>
      <c r="AD19" s="4"/>
      <c r="AE19" s="18" t="s">
        <v>156</v>
      </c>
      <c r="AF19" s="27">
        <f>AVERAGE(AB3:AB33)</f>
        <v>9.0574601263039758E-3</v>
      </c>
    </row>
    <row r="20" spans="1:32" x14ac:dyDescent="0.2">
      <c r="A20" t="s">
        <v>75</v>
      </c>
      <c r="B20" t="s">
        <v>28</v>
      </c>
      <c r="C20" t="s">
        <v>2</v>
      </c>
      <c r="D20" t="s">
        <v>29</v>
      </c>
      <c r="E20" t="s">
        <v>30</v>
      </c>
      <c r="F20" s="9">
        <v>29</v>
      </c>
      <c r="G20" t="s">
        <v>0</v>
      </c>
      <c r="H20" s="1">
        <v>3.4000000000000002E-2</v>
      </c>
      <c r="I20" s="3">
        <v>44107</v>
      </c>
      <c r="J20">
        <v>5800</v>
      </c>
      <c r="K20">
        <v>32.42</v>
      </c>
      <c r="L20" s="4">
        <v>188038</v>
      </c>
      <c r="M20" s="4">
        <v>33.11</v>
      </c>
      <c r="N20" s="4">
        <v>192041</v>
      </c>
      <c r="O20" s="1">
        <v>1.2800000000000001E-2</v>
      </c>
      <c r="P20" s="11">
        <f t="shared" si="0"/>
        <v>32.420344827586206</v>
      </c>
      <c r="Q20" s="29">
        <f t="shared" si="7"/>
        <v>1.1179429250891795</v>
      </c>
      <c r="R20" s="10">
        <f t="shared" si="1"/>
        <v>33.110517241379313</v>
      </c>
      <c r="S20" s="29">
        <f t="shared" si="8"/>
        <v>1.141741973840666</v>
      </c>
      <c r="T20">
        <f t="shared" si="2"/>
        <v>1891</v>
      </c>
      <c r="U20" s="22">
        <f>DATE(IF(MONTH(I20)&gt;7,2014,2015),MONTH(I20),DAY(I20))</f>
        <v>41915</v>
      </c>
      <c r="V20" s="25">
        <f t="shared" si="15"/>
        <v>4716.051506849316</v>
      </c>
      <c r="W20" s="4">
        <f t="shared" si="16"/>
        <v>29628.084383561651</v>
      </c>
      <c r="X20" s="4">
        <f t="shared" si="17"/>
        <v>168200</v>
      </c>
      <c r="Y20" s="4">
        <f t="shared" si="10"/>
        <v>202544.13589041098</v>
      </c>
      <c r="Z20" s="4">
        <f t="shared" si="5"/>
        <v>10503.13589041098</v>
      </c>
      <c r="AA20" s="19">
        <f t="shared" si="11"/>
        <v>2027.3107350608184</v>
      </c>
      <c r="AB20" s="21">
        <f t="shared" si="6"/>
        <v>1.055665579256939E-2</v>
      </c>
      <c r="AC20" s="4">
        <f t="shared" si="12"/>
        <v>1415.3613740999999</v>
      </c>
      <c r="AD20" s="4"/>
      <c r="AE20" s="18" t="s">
        <v>157</v>
      </c>
      <c r="AF20" s="6">
        <f>SUM(AA2:AA34)</f>
        <v>82121.029592815408</v>
      </c>
    </row>
    <row r="21" spans="1:32" x14ac:dyDescent="0.2">
      <c r="A21" t="s">
        <v>72</v>
      </c>
      <c r="B21" t="s">
        <v>19</v>
      </c>
      <c r="C21" t="s">
        <v>11</v>
      </c>
      <c r="D21" t="s">
        <v>20</v>
      </c>
      <c r="E21" t="s">
        <v>21</v>
      </c>
      <c r="F21" s="9">
        <v>1000</v>
      </c>
      <c r="G21" t="s">
        <v>0</v>
      </c>
      <c r="H21" s="1">
        <v>3.7499999999999999E-2</v>
      </c>
      <c r="I21" s="3">
        <v>44409</v>
      </c>
      <c r="J21">
        <v>150</v>
      </c>
      <c r="K21">
        <v>814.64</v>
      </c>
      <c r="L21" s="4">
        <v>122196</v>
      </c>
      <c r="M21" s="4">
        <v>1169.6500000000001</v>
      </c>
      <c r="N21" s="4">
        <v>175447</v>
      </c>
      <c r="O21" s="1">
        <v>1.17E-2</v>
      </c>
      <c r="P21" s="11">
        <f t="shared" si="0"/>
        <v>814.64</v>
      </c>
      <c r="Q21" s="29">
        <f t="shared" si="7"/>
        <v>0.81464000000000003</v>
      </c>
      <c r="R21" s="10">
        <f t="shared" si="1"/>
        <v>1169.6466666666668</v>
      </c>
      <c r="S21" s="29">
        <f t="shared" si="8"/>
        <v>1.1696466666666667</v>
      </c>
      <c r="T21">
        <f t="shared" si="2"/>
        <v>2193</v>
      </c>
      <c r="U21" s="23">
        <f>DATE(IF(MONTH(I21)&gt;7,2014,2015),MONTH(I21),DAY(I21))+364</f>
        <v>42216</v>
      </c>
      <c r="V21" s="25">
        <f t="shared" si="15"/>
        <v>0</v>
      </c>
      <c r="W21" s="4">
        <f t="shared" si="16"/>
        <v>33796.232876712333</v>
      </c>
      <c r="X21" s="4">
        <f t="shared" si="17"/>
        <v>150000</v>
      </c>
      <c r="Y21" s="4">
        <f t="shared" si="10"/>
        <v>183796.23287671234</v>
      </c>
      <c r="Z21" s="4">
        <f t="shared" si="5"/>
        <v>8349.2328767123399</v>
      </c>
      <c r="AA21" s="19">
        <f t="shared" si="11"/>
        <v>1389.6352029183786</v>
      </c>
      <c r="AB21" s="21">
        <f t="shared" si="6"/>
        <v>7.920541262708275E-3</v>
      </c>
      <c r="AC21" s="4">
        <f t="shared" si="12"/>
        <v>1293.0619346999999</v>
      </c>
      <c r="AD21" s="4"/>
      <c r="AE21" s="18" t="s">
        <v>152</v>
      </c>
      <c r="AF21" s="6">
        <f>SUM(AC2:AC34)</f>
        <v>110994.77466449999</v>
      </c>
    </row>
    <row r="22" spans="1:32" x14ac:dyDescent="0.2">
      <c r="A22" t="s">
        <v>81</v>
      </c>
      <c r="B22" t="s">
        <v>28</v>
      </c>
      <c r="C22" t="s">
        <v>2</v>
      </c>
      <c r="D22" t="s">
        <v>29</v>
      </c>
      <c r="E22" t="s">
        <v>37</v>
      </c>
      <c r="F22" s="9">
        <v>29</v>
      </c>
      <c r="G22" t="s">
        <v>0</v>
      </c>
      <c r="H22" s="1">
        <v>4.1000000000000002E-2</v>
      </c>
      <c r="I22" s="3">
        <v>44985</v>
      </c>
      <c r="J22">
        <v>4700</v>
      </c>
      <c r="K22">
        <v>33.659999999999997</v>
      </c>
      <c r="L22" s="4">
        <v>158215</v>
      </c>
      <c r="M22" s="4">
        <v>34.590000000000003</v>
      </c>
      <c r="N22" s="4">
        <v>162562</v>
      </c>
      <c r="O22" s="1">
        <v>1.0800000000000001E-2</v>
      </c>
      <c r="P22" s="11">
        <f t="shared" si="0"/>
        <v>33.662765957446808</v>
      </c>
      <c r="Q22" s="29">
        <f t="shared" si="7"/>
        <v>1.1607850330154073</v>
      </c>
      <c r="R22" s="10">
        <f t="shared" si="1"/>
        <v>34.587659574468084</v>
      </c>
      <c r="S22" s="29">
        <f t="shared" si="8"/>
        <v>1.1926779163609684</v>
      </c>
      <c r="T22">
        <f t="shared" si="2"/>
        <v>2769</v>
      </c>
      <c r="U22" s="22">
        <f t="shared" ref="U22:U34" si="18">DATE(IF(MONTH(I22)&gt;7,2014,2015),MONTH(I22),DAY(I22))</f>
        <v>42063</v>
      </c>
      <c r="V22" s="25">
        <f t="shared" si="15"/>
        <v>2342.4928767123292</v>
      </c>
      <c r="W22" s="4">
        <f t="shared" si="16"/>
        <v>42394.527945205482</v>
      </c>
      <c r="X22" s="4">
        <f t="shared" si="17"/>
        <v>136300</v>
      </c>
      <c r="Y22" s="4">
        <f t="shared" si="10"/>
        <v>181037.0208219178</v>
      </c>
      <c r="Z22" s="4">
        <f t="shared" si="5"/>
        <v>18475.020821917802</v>
      </c>
      <c r="AA22" s="19">
        <f t="shared" si="11"/>
        <v>2435.3133261105086</v>
      </c>
      <c r="AB22" s="21">
        <f t="shared" si="6"/>
        <v>1.498082778331042E-2</v>
      </c>
      <c r="AC22" s="4">
        <f t="shared" si="12"/>
        <v>1198.0981962000001</v>
      </c>
      <c r="AD22" s="4"/>
      <c r="AE22" s="18" t="s">
        <v>158</v>
      </c>
      <c r="AF22" s="6">
        <f>AF20-AF21</f>
        <v>-28873.745071684578</v>
      </c>
    </row>
    <row r="23" spans="1:32" x14ac:dyDescent="0.2">
      <c r="A23" t="s">
        <v>67</v>
      </c>
      <c r="B23" t="s">
        <v>5</v>
      </c>
      <c r="C23" t="s">
        <v>6</v>
      </c>
      <c r="D23" t="s">
        <v>3</v>
      </c>
      <c r="E23" t="s">
        <v>8</v>
      </c>
      <c r="F23" s="9">
        <v>1000</v>
      </c>
      <c r="G23" t="s">
        <v>0</v>
      </c>
      <c r="H23" s="1">
        <v>2.3800000000000002E-2</v>
      </c>
      <c r="I23" s="3">
        <v>43377</v>
      </c>
      <c r="J23">
        <v>130</v>
      </c>
      <c r="K23">
        <v>1012.37</v>
      </c>
      <c r="L23" s="4">
        <v>131609</v>
      </c>
      <c r="M23" s="4">
        <v>1094.22</v>
      </c>
      <c r="N23" s="4">
        <v>142249</v>
      </c>
      <c r="O23" s="1">
        <v>9.4999999999999998E-3</v>
      </c>
      <c r="P23" s="11">
        <f t="shared" si="0"/>
        <v>1012.376923076923</v>
      </c>
      <c r="Q23" s="29">
        <f t="shared" si="7"/>
        <v>1.0123769230769231</v>
      </c>
      <c r="R23" s="10">
        <f t="shared" si="1"/>
        <v>1094.2230769230769</v>
      </c>
      <c r="S23" s="29">
        <f t="shared" si="8"/>
        <v>1.0942230769230767</v>
      </c>
      <c r="T23">
        <f t="shared" si="2"/>
        <v>1161</v>
      </c>
      <c r="U23" s="22">
        <f t="shared" si="18"/>
        <v>41916</v>
      </c>
      <c r="V23" s="25">
        <f t="shared" si="15"/>
        <v>2543.0136986301377</v>
      </c>
      <c r="W23" s="4">
        <f t="shared" si="16"/>
        <v>9841.4630136986307</v>
      </c>
      <c r="X23" s="4">
        <f t="shared" si="17"/>
        <v>130000</v>
      </c>
      <c r="Y23" s="4">
        <f t="shared" si="10"/>
        <v>142384.47671232879</v>
      </c>
      <c r="Z23" s="4">
        <f t="shared" si="5"/>
        <v>135.47671232878929</v>
      </c>
      <c r="AA23" s="19">
        <f t="shared" si="11"/>
        <v>42.591731266156835</v>
      </c>
      <c r="AB23" s="21">
        <f t="shared" si="6"/>
        <v>2.994167359078576E-4</v>
      </c>
      <c r="AC23" s="4">
        <f t="shared" si="12"/>
        <v>1048.3893548999999</v>
      </c>
      <c r="AD23" s="4"/>
      <c r="AE23" s="18" t="s">
        <v>159</v>
      </c>
      <c r="AF23" s="20">
        <f>AF22/AF3</f>
        <v>-1.9172288893423389E-3</v>
      </c>
    </row>
    <row r="24" spans="1:32" x14ac:dyDescent="0.2">
      <c r="A24" t="s">
        <v>80</v>
      </c>
      <c r="B24" t="s">
        <v>32</v>
      </c>
      <c r="C24" t="s">
        <v>11</v>
      </c>
      <c r="D24" t="s">
        <v>29</v>
      </c>
      <c r="E24" t="s">
        <v>36</v>
      </c>
      <c r="F24" s="9">
        <v>1000</v>
      </c>
      <c r="G24" t="s">
        <v>0</v>
      </c>
      <c r="H24" s="1">
        <v>4.9500000000000002E-2</v>
      </c>
      <c r="I24" s="3">
        <v>43000</v>
      </c>
      <c r="J24">
        <v>120</v>
      </c>
      <c r="K24">
        <v>979.82</v>
      </c>
      <c r="L24" s="4">
        <v>117578</v>
      </c>
      <c r="M24" s="4">
        <v>1140.71</v>
      </c>
      <c r="N24" s="4">
        <v>136885</v>
      </c>
      <c r="O24" s="1">
        <v>9.1000000000000004E-3</v>
      </c>
      <c r="P24" s="11">
        <f t="shared" si="0"/>
        <v>979.81666666666672</v>
      </c>
      <c r="Q24" s="29">
        <f t="shared" si="7"/>
        <v>0.97981666666666667</v>
      </c>
      <c r="R24" s="10">
        <f t="shared" si="1"/>
        <v>1140.7083333333333</v>
      </c>
      <c r="S24" s="29">
        <f t="shared" si="8"/>
        <v>1.1407083333333332</v>
      </c>
      <c r="T24">
        <f t="shared" si="2"/>
        <v>784</v>
      </c>
      <c r="U24" s="22">
        <f t="shared" si="18"/>
        <v>41904</v>
      </c>
      <c r="V24" s="25">
        <f t="shared" si="15"/>
        <v>5077.4794520547948</v>
      </c>
      <c r="W24" s="4">
        <f t="shared" si="16"/>
        <v>12758.794520547946</v>
      </c>
      <c r="X24" s="4">
        <f t="shared" si="17"/>
        <v>120000</v>
      </c>
      <c r="Y24" s="4">
        <f t="shared" si="10"/>
        <v>137836.27397260274</v>
      </c>
      <c r="Z24" s="4">
        <f t="shared" si="5"/>
        <v>951.27397260273574</v>
      </c>
      <c r="AA24" s="19">
        <f t="shared" si="11"/>
        <v>442.87627551020228</v>
      </c>
      <c r="AB24" s="21">
        <f t="shared" si="6"/>
        <v>3.2353893816722233E-3</v>
      </c>
      <c r="AC24" s="4">
        <f t="shared" si="12"/>
        <v>1008.8561385</v>
      </c>
      <c r="AD24" s="4"/>
    </row>
    <row r="25" spans="1:32" x14ac:dyDescent="0.2">
      <c r="A25" t="s">
        <v>65</v>
      </c>
      <c r="B25" t="s">
        <v>1</v>
      </c>
      <c r="C25" t="s">
        <v>2</v>
      </c>
      <c r="D25" t="s">
        <v>3</v>
      </c>
      <c r="E25" t="s">
        <v>4</v>
      </c>
      <c r="F25" s="7">
        <v>0.01</v>
      </c>
      <c r="G25" t="s">
        <v>0</v>
      </c>
      <c r="H25" s="1">
        <v>3.5000000000000003E-2</v>
      </c>
      <c r="I25" s="3">
        <v>42914</v>
      </c>
      <c r="J25">
        <v>12000000</v>
      </c>
      <c r="K25" s="2">
        <v>0.01</v>
      </c>
      <c r="L25" s="4">
        <v>123701</v>
      </c>
      <c r="M25" s="4">
        <v>0.01</v>
      </c>
      <c r="N25" s="4">
        <v>128791</v>
      </c>
      <c r="O25" s="1">
        <v>8.6E-3</v>
      </c>
      <c r="P25" s="11">
        <f t="shared" si="0"/>
        <v>1.0308416666666667E-2</v>
      </c>
      <c r="Q25" s="29">
        <f t="shared" si="7"/>
        <v>1.0308416666666667</v>
      </c>
      <c r="R25" s="10">
        <f t="shared" si="1"/>
        <v>1.0732583333333334E-2</v>
      </c>
      <c r="S25" s="29">
        <f t="shared" si="8"/>
        <v>1.0732583333333334</v>
      </c>
      <c r="T25">
        <f t="shared" si="2"/>
        <v>698</v>
      </c>
      <c r="U25" s="22">
        <f t="shared" si="18"/>
        <v>42183</v>
      </c>
      <c r="V25" s="25">
        <f t="shared" si="15"/>
        <v>379.72602739726034</v>
      </c>
      <c r="W25" s="4">
        <f t="shared" si="16"/>
        <v>8031.7808219178096</v>
      </c>
      <c r="X25" s="4">
        <f t="shared" si="17"/>
        <v>120000</v>
      </c>
      <c r="Y25" s="4">
        <f t="shared" si="10"/>
        <v>128411.50684931508</v>
      </c>
      <c r="Z25" s="4">
        <f t="shared" si="5"/>
        <v>-379.49315068492433</v>
      </c>
      <c r="AA25" s="19">
        <f t="shared" si="11"/>
        <v>-198.44555873925125</v>
      </c>
      <c r="AB25" s="24">
        <f t="shared" si="6"/>
        <v>-1.5408340547029781E-3</v>
      </c>
      <c r="AC25" s="4">
        <f t="shared" si="12"/>
        <v>949.20254910000006</v>
      </c>
      <c r="AD25" s="4"/>
      <c r="AE25" s="18" t="s">
        <v>161</v>
      </c>
      <c r="AF25" s="1">
        <f>AVERAGE(H3:H33)</f>
        <v>3.4264516129032259E-2</v>
      </c>
    </row>
    <row r="26" spans="1:32" x14ac:dyDescent="0.2">
      <c r="A26" t="s">
        <v>91</v>
      </c>
      <c r="B26" t="s">
        <v>52</v>
      </c>
      <c r="C26" t="s">
        <v>11</v>
      </c>
      <c r="D26" t="s">
        <v>53</v>
      </c>
      <c r="E26" t="s">
        <v>56</v>
      </c>
      <c r="F26" s="9">
        <v>1</v>
      </c>
      <c r="G26" t="s">
        <v>0</v>
      </c>
      <c r="H26" s="1">
        <v>0.04</v>
      </c>
      <c r="I26" s="3">
        <v>43948</v>
      </c>
      <c r="J26">
        <v>100000</v>
      </c>
      <c r="K26">
        <v>0.95</v>
      </c>
      <c r="L26" s="4">
        <v>94842</v>
      </c>
      <c r="M26" s="4">
        <v>1.18</v>
      </c>
      <c r="N26" s="4">
        <v>118338</v>
      </c>
      <c r="O26" s="1">
        <v>7.9000000000000008E-3</v>
      </c>
      <c r="P26" s="11">
        <f t="shared" si="0"/>
        <v>0.94842000000000004</v>
      </c>
      <c r="Q26" s="29">
        <f t="shared" si="7"/>
        <v>0.94842000000000004</v>
      </c>
      <c r="R26" s="10">
        <f t="shared" si="1"/>
        <v>1.1833800000000001</v>
      </c>
      <c r="S26" s="29">
        <f t="shared" si="8"/>
        <v>1.1833800000000001</v>
      </c>
      <c r="T26">
        <f t="shared" si="2"/>
        <v>1732</v>
      </c>
      <c r="U26" s="22">
        <f t="shared" si="18"/>
        <v>42121</v>
      </c>
      <c r="V26" s="25">
        <f t="shared" si="15"/>
        <v>1041.0958904109589</v>
      </c>
      <c r="W26" s="4">
        <f t="shared" si="16"/>
        <v>18980.821917808218</v>
      </c>
      <c r="X26" s="4">
        <f t="shared" si="17"/>
        <v>100000</v>
      </c>
      <c r="Y26" s="4">
        <f t="shared" si="10"/>
        <v>120021.91780821918</v>
      </c>
      <c r="Z26" s="4">
        <f t="shared" si="5"/>
        <v>1683.9178082191793</v>
      </c>
      <c r="AA26" s="19">
        <f t="shared" si="11"/>
        <v>354.86720554272546</v>
      </c>
      <c r="AB26" s="21">
        <f t="shared" si="6"/>
        <v>2.9987595323795017E-3</v>
      </c>
      <c r="AC26" s="4">
        <f t="shared" si="12"/>
        <v>872.16289380000001</v>
      </c>
      <c r="AD26" s="4"/>
      <c r="AE26" s="18" t="s">
        <v>164</v>
      </c>
      <c r="AF26" s="30">
        <f>AVERAGE(Q3:Q33)</f>
        <v>1.0291184015252239</v>
      </c>
    </row>
    <row r="27" spans="1:32" x14ac:dyDescent="0.2">
      <c r="A27" t="s">
        <v>89</v>
      </c>
      <c r="B27" t="s">
        <v>52</v>
      </c>
      <c r="C27" t="s">
        <v>11</v>
      </c>
      <c r="D27" t="s">
        <v>53</v>
      </c>
      <c r="E27" t="s">
        <v>54</v>
      </c>
      <c r="F27" s="9">
        <v>1000</v>
      </c>
      <c r="G27" t="s">
        <v>0</v>
      </c>
      <c r="H27" s="1">
        <v>4.3799999999999999E-2</v>
      </c>
      <c r="I27" s="3">
        <v>42870</v>
      </c>
      <c r="J27">
        <v>105</v>
      </c>
      <c r="K27">
        <v>1019.66</v>
      </c>
      <c r="L27" s="4">
        <v>107065</v>
      </c>
      <c r="M27" s="4">
        <v>1087.0999999999999</v>
      </c>
      <c r="N27" s="4">
        <v>114146</v>
      </c>
      <c r="O27" s="1">
        <v>7.6E-3</v>
      </c>
      <c r="P27" s="11">
        <f t="shared" si="0"/>
        <v>1019.6666666666666</v>
      </c>
      <c r="Q27" s="29">
        <f t="shared" si="7"/>
        <v>1.0196666666666667</v>
      </c>
      <c r="R27" s="10">
        <f t="shared" si="1"/>
        <v>1087.104761904762</v>
      </c>
      <c r="S27" s="29">
        <f t="shared" si="8"/>
        <v>1.087104761904762</v>
      </c>
      <c r="T27">
        <f t="shared" si="2"/>
        <v>654</v>
      </c>
      <c r="U27" s="22">
        <f t="shared" si="18"/>
        <v>42139</v>
      </c>
      <c r="V27" s="25">
        <f t="shared" si="15"/>
        <v>970.19999999999993</v>
      </c>
      <c r="W27" s="4">
        <f t="shared" si="16"/>
        <v>8240.4</v>
      </c>
      <c r="X27" s="4">
        <f t="shared" si="17"/>
        <v>105000</v>
      </c>
      <c r="Y27" s="4">
        <f t="shared" si="10"/>
        <v>114210.59999999999</v>
      </c>
      <c r="Z27" s="4">
        <f t="shared" si="5"/>
        <v>64.599999999991269</v>
      </c>
      <c r="AA27" s="19">
        <f t="shared" si="11"/>
        <v>36.053516819566994</v>
      </c>
      <c r="AB27" s="21">
        <f t="shared" si="6"/>
        <v>3.1585440418032166E-4</v>
      </c>
      <c r="AC27" s="4">
        <f t="shared" si="12"/>
        <v>841.2674346</v>
      </c>
      <c r="AD27" s="4"/>
      <c r="AE27" s="18" t="s">
        <v>165</v>
      </c>
      <c r="AF27" s="30">
        <f>AVERAGE(S3:S33)</f>
        <v>1.108936535736516</v>
      </c>
    </row>
    <row r="28" spans="1:32" x14ac:dyDescent="0.2">
      <c r="A28" t="s">
        <v>93</v>
      </c>
      <c r="B28" t="s">
        <v>57</v>
      </c>
      <c r="C28" t="s">
        <v>58</v>
      </c>
      <c r="D28" t="s">
        <v>59</v>
      </c>
      <c r="E28" t="s">
        <v>61</v>
      </c>
      <c r="F28" s="9">
        <v>1000</v>
      </c>
      <c r="G28" t="s">
        <v>0</v>
      </c>
      <c r="H28" s="1">
        <v>0.04</v>
      </c>
      <c r="I28" s="3">
        <v>43726</v>
      </c>
      <c r="J28">
        <v>100</v>
      </c>
      <c r="K28">
        <v>995.33</v>
      </c>
      <c r="L28" s="4">
        <v>99533</v>
      </c>
      <c r="M28" s="4">
        <v>1124.23</v>
      </c>
      <c r="N28" s="4">
        <v>112423</v>
      </c>
      <c r="O28" s="1">
        <v>7.4999999999999997E-3</v>
      </c>
      <c r="P28" s="11">
        <f t="shared" si="0"/>
        <v>995.33</v>
      </c>
      <c r="Q28" s="29">
        <f t="shared" si="7"/>
        <v>0.99533000000000005</v>
      </c>
      <c r="R28" s="10">
        <f t="shared" si="1"/>
        <v>1124.23</v>
      </c>
      <c r="S28" s="29">
        <f t="shared" si="8"/>
        <v>1.1242300000000001</v>
      </c>
      <c r="T28">
        <f t="shared" si="2"/>
        <v>1510</v>
      </c>
      <c r="U28" s="22">
        <f t="shared" si="18"/>
        <v>41900</v>
      </c>
      <c r="V28" s="25">
        <f t="shared" si="15"/>
        <v>3463.0136986301372</v>
      </c>
      <c r="W28" s="4">
        <f t="shared" si="16"/>
        <v>16547.945205479453</v>
      </c>
      <c r="X28" s="4">
        <f t="shared" si="17"/>
        <v>100000</v>
      </c>
      <c r="Y28" s="4">
        <f t="shared" si="10"/>
        <v>120010.95890410959</v>
      </c>
      <c r="Z28" s="4">
        <f t="shared" si="5"/>
        <v>7587.9589041095896</v>
      </c>
      <c r="AA28" s="19">
        <f t="shared" si="11"/>
        <v>1834.175496688742</v>
      </c>
      <c r="AB28" s="21">
        <f t="shared" si="6"/>
        <v>1.6314948868903535E-2</v>
      </c>
      <c r="AC28" s="4">
        <f t="shared" si="12"/>
        <v>828.56875230000003</v>
      </c>
      <c r="AD28" s="4"/>
    </row>
    <row r="29" spans="1:32" x14ac:dyDescent="0.2">
      <c r="A29" t="s">
        <v>76</v>
      </c>
      <c r="B29" t="s">
        <v>28</v>
      </c>
      <c r="C29" t="s">
        <v>2</v>
      </c>
      <c r="D29" t="s">
        <v>29</v>
      </c>
      <c r="E29" t="s">
        <v>31</v>
      </c>
      <c r="F29" s="9">
        <v>100</v>
      </c>
      <c r="G29" t="s">
        <v>0</v>
      </c>
      <c r="H29" s="1">
        <v>2.1000000000000001E-2</v>
      </c>
      <c r="I29" s="3">
        <v>45602</v>
      </c>
      <c r="J29">
        <v>1060</v>
      </c>
      <c r="K29">
        <v>106.42</v>
      </c>
      <c r="L29" s="4">
        <v>112807</v>
      </c>
      <c r="M29" s="4">
        <v>104.94</v>
      </c>
      <c r="N29" s="4">
        <v>111232</v>
      </c>
      <c r="O29" s="1">
        <v>7.4000000000000003E-3</v>
      </c>
      <c r="P29" s="11">
        <f t="shared" si="0"/>
        <v>106.42169811320754</v>
      </c>
      <c r="Q29" s="29">
        <f t="shared" si="7"/>
        <v>1.0642169811320754</v>
      </c>
      <c r="R29" s="10">
        <f t="shared" si="1"/>
        <v>104.93584905660377</v>
      </c>
      <c r="S29" s="29">
        <f t="shared" si="8"/>
        <v>1.0493584905660378</v>
      </c>
      <c r="T29">
        <f t="shared" si="2"/>
        <v>3386</v>
      </c>
      <c r="U29" s="22">
        <f t="shared" si="18"/>
        <v>41949</v>
      </c>
      <c r="V29" s="25">
        <f t="shared" si="15"/>
        <v>1628.3342465753424</v>
      </c>
      <c r="W29" s="4">
        <f t="shared" si="16"/>
        <v>20649.961643835621</v>
      </c>
      <c r="X29" s="4">
        <f t="shared" si="17"/>
        <v>106000</v>
      </c>
      <c r="Y29" s="4">
        <f t="shared" si="10"/>
        <v>128278.29589041095</v>
      </c>
      <c r="Z29" s="4">
        <f t="shared" si="5"/>
        <v>17046.295890410955</v>
      </c>
      <c r="AA29" s="19">
        <f t="shared" si="11"/>
        <v>1837.5363260484344</v>
      </c>
      <c r="AB29" s="21">
        <f t="shared" si="6"/>
        <v>1.6519853334008509E-2</v>
      </c>
      <c r="AC29" s="4">
        <f t="shared" si="12"/>
        <v>819.79096319999996</v>
      </c>
      <c r="AD29" s="4"/>
    </row>
    <row r="30" spans="1:32" x14ac:dyDescent="0.2">
      <c r="A30" t="s">
        <v>92</v>
      </c>
      <c r="B30" t="s">
        <v>57</v>
      </c>
      <c r="C30" t="s">
        <v>58</v>
      </c>
      <c r="D30" t="s">
        <v>59</v>
      </c>
      <c r="E30" t="s">
        <v>60</v>
      </c>
      <c r="F30" s="9">
        <v>1000</v>
      </c>
      <c r="G30" t="s">
        <v>0</v>
      </c>
      <c r="H30" s="1">
        <v>0.06</v>
      </c>
      <c r="I30" s="3">
        <v>42627</v>
      </c>
      <c r="J30">
        <v>100</v>
      </c>
      <c r="K30">
        <v>1088.3800000000001</v>
      </c>
      <c r="L30" s="4">
        <v>108838</v>
      </c>
      <c r="M30" s="4">
        <v>1109.5999999999999</v>
      </c>
      <c r="N30" s="4">
        <v>110960</v>
      </c>
      <c r="O30" s="1">
        <v>7.4000000000000003E-3</v>
      </c>
      <c r="P30" s="11">
        <f t="shared" si="0"/>
        <v>1088.3800000000001</v>
      </c>
      <c r="Q30" s="29">
        <f t="shared" si="7"/>
        <v>1.0883800000000001</v>
      </c>
      <c r="R30" s="10">
        <f t="shared" si="1"/>
        <v>1109.5999999999999</v>
      </c>
      <c r="S30" s="29">
        <f t="shared" si="8"/>
        <v>1.1095999999999999</v>
      </c>
      <c r="T30">
        <f t="shared" si="2"/>
        <v>411</v>
      </c>
      <c r="U30" s="22">
        <f t="shared" si="18"/>
        <v>41896</v>
      </c>
      <c r="V30" s="25">
        <f t="shared" si="15"/>
        <v>5260.2739726027394</v>
      </c>
      <c r="W30" s="4">
        <f t="shared" si="16"/>
        <v>6756.1643835616442</v>
      </c>
      <c r="X30" s="4">
        <f t="shared" si="17"/>
        <v>100000</v>
      </c>
      <c r="Y30" s="4">
        <f t="shared" si="10"/>
        <v>112016.43835616438</v>
      </c>
      <c r="Z30" s="4">
        <f t="shared" si="5"/>
        <v>1056.4383561643772</v>
      </c>
      <c r="AA30" s="19">
        <f t="shared" si="11"/>
        <v>938.1995133819895</v>
      </c>
      <c r="AB30" s="21">
        <f t="shared" si="6"/>
        <v>8.4552948213950027E-3</v>
      </c>
      <c r="AC30" s="4">
        <f t="shared" si="12"/>
        <v>817.78629599999999</v>
      </c>
      <c r="AD30" s="4"/>
    </row>
    <row r="31" spans="1:32" x14ac:dyDescent="0.2">
      <c r="A31" t="s">
        <v>68</v>
      </c>
      <c r="B31" t="s">
        <v>5</v>
      </c>
      <c r="C31" t="s">
        <v>6</v>
      </c>
      <c r="D31" t="s">
        <v>3</v>
      </c>
      <c r="E31" t="s">
        <v>9</v>
      </c>
      <c r="F31" s="9">
        <v>1000</v>
      </c>
      <c r="G31" t="s">
        <v>0</v>
      </c>
      <c r="H31" s="1">
        <v>3.6299999999999999E-2</v>
      </c>
      <c r="I31" s="3">
        <v>42466</v>
      </c>
      <c r="J31">
        <v>100</v>
      </c>
      <c r="K31">
        <v>1066</v>
      </c>
      <c r="L31" s="4">
        <v>106600</v>
      </c>
      <c r="M31" s="4">
        <v>1037.79</v>
      </c>
      <c r="N31" s="4">
        <v>103779</v>
      </c>
      <c r="O31" s="1">
        <v>6.8999999999999999E-3</v>
      </c>
      <c r="P31" s="11">
        <f t="shared" si="0"/>
        <v>1066</v>
      </c>
      <c r="Q31" s="29">
        <f t="shared" si="7"/>
        <v>1.0660000000000001</v>
      </c>
      <c r="R31" s="10">
        <f t="shared" si="1"/>
        <v>1037.79</v>
      </c>
      <c r="S31" s="29">
        <f t="shared" si="8"/>
        <v>1.03779</v>
      </c>
      <c r="T31">
        <f t="shared" si="2"/>
        <v>250</v>
      </c>
      <c r="U31" s="22">
        <f t="shared" si="18"/>
        <v>42100</v>
      </c>
      <c r="V31" s="25">
        <f t="shared" si="15"/>
        <v>1153.6438356164385</v>
      </c>
      <c r="W31" s="4">
        <f t="shared" si="16"/>
        <v>2486.3013698630139</v>
      </c>
      <c r="X31" s="4">
        <f t="shared" si="17"/>
        <v>100000</v>
      </c>
      <c r="Y31" s="4">
        <f t="shared" si="10"/>
        <v>103639.94520547945</v>
      </c>
      <c r="Z31" s="4">
        <f t="shared" si="5"/>
        <v>-139.05479452054715</v>
      </c>
      <c r="AA31" s="19">
        <f t="shared" si="11"/>
        <v>-203.01999999999882</v>
      </c>
      <c r="AB31" s="24">
        <f t="shared" si="6"/>
        <v>-1.9562724636005245E-3</v>
      </c>
      <c r="AC31" s="4">
        <f t="shared" si="12"/>
        <v>764.86160789999997</v>
      </c>
      <c r="AD31" s="4"/>
    </row>
    <row r="32" spans="1:32" x14ac:dyDescent="0.2">
      <c r="A32" t="s">
        <v>84</v>
      </c>
      <c r="B32" t="s">
        <v>42</v>
      </c>
      <c r="C32" t="s">
        <v>11</v>
      </c>
      <c r="D32" t="s">
        <v>43</v>
      </c>
      <c r="E32" t="s">
        <v>44</v>
      </c>
      <c r="F32" s="9">
        <v>1000</v>
      </c>
      <c r="G32" t="s">
        <v>0</v>
      </c>
      <c r="H32" s="1">
        <v>1.9E-2</v>
      </c>
      <c r="I32" s="3">
        <v>44722</v>
      </c>
      <c r="J32">
        <v>80</v>
      </c>
      <c r="K32">
        <v>998.82</v>
      </c>
      <c r="L32" s="4">
        <v>79906</v>
      </c>
      <c r="M32" s="4">
        <v>992.65</v>
      </c>
      <c r="N32" s="4">
        <v>79412</v>
      </c>
      <c r="O32" s="1">
        <v>5.3E-3</v>
      </c>
      <c r="P32" s="11">
        <f t="shared" si="0"/>
        <v>998.82500000000005</v>
      </c>
      <c r="Q32" s="29">
        <f t="shared" si="7"/>
        <v>0.99882500000000007</v>
      </c>
      <c r="R32" s="10">
        <f t="shared" si="1"/>
        <v>992.65</v>
      </c>
      <c r="S32" s="29">
        <f t="shared" si="8"/>
        <v>0.99265000000000003</v>
      </c>
      <c r="T32">
        <f t="shared" si="2"/>
        <v>2506</v>
      </c>
      <c r="U32" s="22">
        <f t="shared" si="18"/>
        <v>42165</v>
      </c>
      <c r="V32" s="25">
        <f t="shared" si="15"/>
        <v>212.38356164383563</v>
      </c>
      <c r="W32" s="4">
        <f t="shared" si="16"/>
        <v>10435.945205479451</v>
      </c>
      <c r="X32" s="4">
        <f t="shared" si="17"/>
        <v>80000</v>
      </c>
      <c r="Y32" s="4">
        <f t="shared" si="10"/>
        <v>90648.328767123283</v>
      </c>
      <c r="Z32" s="4">
        <f t="shared" si="5"/>
        <v>11236.328767123283</v>
      </c>
      <c r="AA32" s="19">
        <f t="shared" si="11"/>
        <v>1636.5762170790099</v>
      </c>
      <c r="AB32" s="24">
        <f t="shared" si="6"/>
        <v>2.0608676485657205E-2</v>
      </c>
      <c r="AC32" s="4">
        <f t="shared" si="12"/>
        <v>585.27438119999999</v>
      </c>
      <c r="AD32" s="4"/>
    </row>
    <row r="33" spans="1:30" x14ac:dyDescent="0.2">
      <c r="A33" t="s">
        <v>78</v>
      </c>
      <c r="B33" t="s">
        <v>28</v>
      </c>
      <c r="C33" t="s">
        <v>2</v>
      </c>
      <c r="D33" t="s">
        <v>29</v>
      </c>
      <c r="E33" t="s">
        <v>34</v>
      </c>
      <c r="F33" s="9">
        <v>29</v>
      </c>
      <c r="G33" t="s">
        <v>0</v>
      </c>
      <c r="H33" s="1">
        <v>5.5E-2</v>
      </c>
      <c r="I33" s="3">
        <v>44698</v>
      </c>
      <c r="J33">
        <v>2000</v>
      </c>
      <c r="K33">
        <v>36.25</v>
      </c>
      <c r="L33" s="4">
        <v>72500</v>
      </c>
      <c r="M33" s="4">
        <v>36.83</v>
      </c>
      <c r="N33" s="4">
        <v>73654</v>
      </c>
      <c r="O33" s="1">
        <v>4.8999999999999998E-3</v>
      </c>
      <c r="P33" s="11">
        <f t="shared" si="0"/>
        <v>36.25</v>
      </c>
      <c r="Q33" s="29">
        <f t="shared" si="7"/>
        <v>1.25</v>
      </c>
      <c r="R33" s="10">
        <f t="shared" si="1"/>
        <v>36.826999999999998</v>
      </c>
      <c r="S33" s="29">
        <f t="shared" si="8"/>
        <v>1.2698965517241378</v>
      </c>
      <c r="T33">
        <f t="shared" si="2"/>
        <v>2482</v>
      </c>
      <c r="U33" s="22">
        <f t="shared" si="18"/>
        <v>42141</v>
      </c>
      <c r="V33" s="25">
        <f t="shared" si="15"/>
        <v>655.47945205479459</v>
      </c>
      <c r="W33" s="4">
        <f t="shared" si="16"/>
        <v>21692</v>
      </c>
      <c r="X33" s="4">
        <f t="shared" si="17"/>
        <v>58000</v>
      </c>
      <c r="Y33" s="4">
        <f t="shared" si="10"/>
        <v>80347.479452054788</v>
      </c>
      <c r="Z33" s="4">
        <f t="shared" si="5"/>
        <v>6693.4794520547875</v>
      </c>
      <c r="AA33" s="19">
        <f t="shared" si="11"/>
        <v>984.3352135374688</v>
      </c>
      <c r="AB33" s="21">
        <f t="shared" si="6"/>
        <v>1.3364314409773655E-2</v>
      </c>
      <c r="AC33" s="4">
        <f t="shared" si="12"/>
        <v>542.8373454</v>
      </c>
      <c r="AD33" s="4"/>
    </row>
    <row r="34" spans="1:30" x14ac:dyDescent="0.2">
      <c r="A34" t="s">
        <v>114</v>
      </c>
      <c r="B34" t="s">
        <v>16</v>
      </c>
      <c r="C34" t="s">
        <v>11</v>
      </c>
      <c r="D34" t="s">
        <v>14</v>
      </c>
      <c r="F34" s="9">
        <v>1</v>
      </c>
      <c r="G34" t="s">
        <v>27</v>
      </c>
      <c r="H34" s="1">
        <v>9.9999999999999995E-7</v>
      </c>
      <c r="I34" s="3">
        <v>42247</v>
      </c>
      <c r="J34" s="9">
        <f>N34</f>
        <v>12285</v>
      </c>
      <c r="L34" s="4">
        <v>13500</v>
      </c>
      <c r="M34" s="4"/>
      <c r="N34" s="4">
        <v>12285</v>
      </c>
      <c r="O34" s="1">
        <v>8.0000000000000004E-4</v>
      </c>
      <c r="P34" s="11">
        <f t="shared" si="0"/>
        <v>1.098901098901099</v>
      </c>
      <c r="Q34" s="29">
        <f t="shared" si="7"/>
        <v>1.098901098901099</v>
      </c>
      <c r="R34" s="10">
        <f t="shared" si="1"/>
        <v>1</v>
      </c>
      <c r="S34" s="29">
        <f t="shared" si="8"/>
        <v>1</v>
      </c>
      <c r="T34">
        <f t="shared" si="2"/>
        <v>31</v>
      </c>
      <c r="U34" s="22">
        <f t="shared" si="18"/>
        <v>41882</v>
      </c>
      <c r="V34" s="25">
        <f t="shared" si="15"/>
        <v>1.1241616438356165E-2</v>
      </c>
      <c r="W34" s="4">
        <f t="shared" si="16"/>
        <v>1.0433835616438355E-3</v>
      </c>
      <c r="X34" s="4">
        <f t="shared" si="17"/>
        <v>12285</v>
      </c>
      <c r="Y34" s="4">
        <f t="shared" si="10"/>
        <v>12285.012284999999</v>
      </c>
      <c r="Z34" s="4">
        <f t="shared" si="5"/>
        <v>1.2284999998882995E-2</v>
      </c>
      <c r="AA34" s="19">
        <f t="shared" si="11"/>
        <v>0.14464596772878366</v>
      </c>
      <c r="AB34" s="21">
        <f t="shared" si="6"/>
        <v>1.1774193547316536E-5</v>
      </c>
      <c r="AC34" s="4">
        <f t="shared" si="12"/>
        <v>90.541678500000003</v>
      </c>
      <c r="AD34" s="4"/>
    </row>
  </sheetData>
  <sortState ref="A2:O34">
    <sortCondition descending="1" ref="O2:O34"/>
  </sortState>
  <pageMargins left="0.75" right="0.75" top="1" bottom="1" header="0.5" footer="0.5"/>
  <pageSetup orientation="portrait" horizontalDpi="4294967292" verticalDpi="429496729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>
      <selection activeCell="A11" sqref="A11"/>
    </sheetView>
  </sheetViews>
  <sheetFormatPr baseColWidth="10" defaultRowHeight="16" x14ac:dyDescent="0.2"/>
  <sheetData>
    <row r="1" spans="1:1" x14ac:dyDescent="0.2">
      <c r="A1" t="s">
        <v>107</v>
      </c>
    </row>
    <row r="2" spans="1:1" x14ac:dyDescent="0.2">
      <c r="A2" t="s">
        <v>108</v>
      </c>
    </row>
    <row r="3" spans="1:1" x14ac:dyDescent="0.2">
      <c r="A3" t="s">
        <v>109</v>
      </c>
    </row>
    <row r="4" spans="1:1" x14ac:dyDescent="0.2">
      <c r="A4" t="s">
        <v>110</v>
      </c>
    </row>
    <row r="5" spans="1:1" x14ac:dyDescent="0.2">
      <c r="A5" t="s">
        <v>111</v>
      </c>
    </row>
    <row r="6" spans="1:1" x14ac:dyDescent="0.2">
      <c r="A6" t="s">
        <v>112</v>
      </c>
    </row>
    <row r="7" spans="1:1" x14ac:dyDescent="0.2">
      <c r="A7" t="s">
        <v>117</v>
      </c>
    </row>
    <row r="8" spans="1:1" x14ac:dyDescent="0.2">
      <c r="A8" t="s">
        <v>126</v>
      </c>
    </row>
    <row r="9" spans="1:1" x14ac:dyDescent="0.2">
      <c r="A9" t="s">
        <v>144</v>
      </c>
    </row>
    <row r="10" spans="1:1" x14ac:dyDescent="0.2">
      <c r="A10" t="s">
        <v>155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xo_data</vt:lpstr>
      <vt:lpstr>notes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keith siilats</dc:creator>
  <cp:lastModifiedBy>Microsoft Office User</cp:lastModifiedBy>
  <dcterms:created xsi:type="dcterms:W3CDTF">2015-09-14T00:19:39Z</dcterms:created>
  <dcterms:modified xsi:type="dcterms:W3CDTF">2016-04-26T03:46:20Z</dcterms:modified>
</cp:coreProperties>
</file>