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011"/>
  <workbookPr/>
  <mc:AlternateContent xmlns:mc="http://schemas.openxmlformats.org/markup-compatibility/2006">
    <mc:Choice Requires="x15">
      <x15ac:absPath xmlns:x15ac="http://schemas.microsoft.com/office/spreadsheetml/2010/11/ac" url="/Users/siilats/Downloads/"/>
    </mc:Choice>
  </mc:AlternateContent>
  <bookViews>
    <workbookView xWindow="640" yWindow="1180" windowWidth="24260" windowHeight="14820" tabRatio="500"/>
  </bookViews>
  <sheets>
    <sheet name="Sheet1" sheetId="1" r:id="rId1"/>
    <sheet name="Sheet2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32" i="1" l="1"/>
  <c r="G12" i="1"/>
  <c r="M38" i="1"/>
  <c r="M39" i="1"/>
  <c r="M40" i="1"/>
  <c r="M41" i="1"/>
  <c r="M42" i="1"/>
  <c r="M43" i="1"/>
  <c r="M44" i="1"/>
  <c r="M45" i="1"/>
  <c r="M46" i="1"/>
  <c r="M47" i="1"/>
  <c r="M37" i="1"/>
  <c r="N48" i="1"/>
  <c r="N37" i="1"/>
  <c r="N38" i="1"/>
  <c r="N39" i="1"/>
  <c r="N40" i="1"/>
  <c r="N41" i="1"/>
  <c r="N42" i="1"/>
  <c r="N43" i="1"/>
  <c r="N44" i="1"/>
  <c r="N45" i="1"/>
  <c r="N46" i="1"/>
  <c r="N47" i="1"/>
  <c r="N49" i="1"/>
  <c r="N36" i="1"/>
  <c r="C11" i="1"/>
  <c r="K2" i="1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C12" i="1"/>
  <c r="L2" i="1"/>
  <c r="M2" i="1"/>
  <c r="H43" i="1"/>
  <c r="D40" i="1"/>
  <c r="C38" i="1"/>
  <c r="D41" i="1"/>
  <c r="D42" i="1"/>
  <c r="B58" i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D60" i="1"/>
  <c r="C14" i="1"/>
  <c r="C13" i="1"/>
  <c r="E53" i="1"/>
  <c r="C47" i="1"/>
  <c r="L3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C17" i="1"/>
  <c r="E20" i="1"/>
  <c r="C34" i="1"/>
  <c r="C29" i="1"/>
  <c r="C28" i="1"/>
  <c r="J2" i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C7" i="1"/>
  <c r="C10" i="1"/>
  <c r="E19" i="1"/>
</calcChain>
</file>

<file path=xl/sharedStrings.xml><?xml version="1.0" encoding="utf-8"?>
<sst xmlns="http://schemas.openxmlformats.org/spreadsheetml/2006/main" count="100" uniqueCount="95">
  <si>
    <t>Oletame et sa investeerid</t>
  </si>
  <si>
    <t>EUR</t>
  </si>
  <si>
    <t>Pensionifondid on Eesti Madoffi skandaal</t>
  </si>
  <si>
    <t>Ja lähed pensionile</t>
  </si>
  <si>
    <t>aasta pärast</t>
  </si>
  <si>
    <t>Sinu tootlikus tuleb umbes</t>
  </si>
  <si>
    <t>http://finance.yahoo.com/bonds/composite_bond_rates</t>
  </si>
  <si>
    <t xml:space="preserve">Selle number on Corp 20yr AA yield, mis ennustab fondide tootlikust kõige paremini </t>
  </si>
  <si>
    <t>Pensionile jäädes on sul</t>
  </si>
  <si>
    <t>Year</t>
  </si>
  <si>
    <t>Väärtus</t>
  </si>
  <si>
    <t>EUR arvel</t>
  </si>
  <si>
    <t>Pensionit võtad iga aasta</t>
  </si>
  <si>
    <t>summast</t>
  </si>
  <si>
    <t>http://www.investopedia.com/terms/f/four-percent-rule.asp</t>
  </si>
  <si>
    <t>Su pension on kuus</t>
  </si>
  <si>
    <t>Riik paneb lisaks juurde</t>
  </si>
  <si>
    <t>Koos riigiga</t>
  </si>
  <si>
    <t>Koos tasudega</t>
  </si>
  <si>
    <t>Pangad mõtlesid et inimestele jäi ilma asjata iga kuu</t>
  </si>
  <si>
    <t xml:space="preserve">1. Esiteks mitte näidata </t>
  </si>
  <si>
    <t xml:space="preserve">tootlikust avalikus rapordis </t>
  </si>
  <si>
    <t xml:space="preserve">Selle asemel näidata </t>
  </si>
  <si>
    <t xml:space="preserve">"kupongi". </t>
  </si>
  <si>
    <t>Kui ma näitasin finantsministrile et usas on kupongi raporteerimine ilma tootluseta keelatud</t>
  </si>
  <si>
    <t>Tuli vastuseks et seda raportit loeb ainult 1.6% pensionäridest, seega pole vahet et see ei näita tegelikust</t>
  </si>
  <si>
    <t>2. Teiseks, investeerida</t>
  </si>
  <si>
    <t>rahast cashi</t>
  </si>
  <si>
    <t>Tootlikus langeb</t>
  </si>
  <si>
    <t>siis</t>
  </si>
  <si>
    <t xml:space="preserve">lõpuks </t>
  </si>
  <si>
    <t>VIX</t>
  </si>
  <si>
    <t>TYVIX</t>
  </si>
  <si>
    <t>10YR TR</t>
  </si>
  <si>
    <t>7Yr TY</t>
  </si>
  <si>
    <t>BlackRock return</t>
  </si>
  <si>
    <t>Portfeli gross yield</t>
  </si>
  <si>
    <t>negatiivse yieldiga AAA võlakirjadesse</t>
  </si>
  <si>
    <t>Miks investeeritakse negatiivse yieldiga AAA?</t>
  </si>
  <si>
    <t>Ostad 100 EUR võlakirja mis maksab 2 EUR aastas intressi 10 aastat, kokku 120 EUR. Saad valitsemistasu ainult</t>
  </si>
  <si>
    <t>1.4 EUR iga aasta. Nüüd ütled et on negatiivne yield seega on võlakirja väärtus 130 EUR, saad valitsemistasu 30% juurde</t>
  </si>
  <si>
    <t>portfelist tootlikusega</t>
  </si>
  <si>
    <t>Miks ei investeeritud BlackRocki institutional fondi mille fee on 5 korda väiksem?</t>
  </si>
  <si>
    <t>Miks ei lubata Eesti pensionäridel investeerida Londonis noteeritut UCSIS reeglitega vastavuses olevatesse Vanguard</t>
  </si>
  <si>
    <t>fondidesse mille valitsemistasu on 1.35% väiksem ja mille tootlus seega 1.35% aastas suurem?</t>
  </si>
  <si>
    <t>Yield koos cashiga ja minus fees</t>
  </si>
  <si>
    <t>Miks on raha cashis mitte Eesti firmade poolt emiteeritud 1% 3 kuulistes võlakirjades (Commercial Paper)?</t>
  </si>
  <si>
    <t>4. Kasutada Merrill Lynch maakler teenuseid, ja mitte hoida võlakirju 20 aastat vaid iga aasta ca</t>
  </si>
  <si>
    <t>"aktiivselt" tradeda. Võlakirja komisjoni tasu</t>
  </si>
  <si>
    <t>Net yield</t>
  </si>
  <si>
    <t>Lõptulemusena on su pension</t>
  </si>
  <si>
    <t>Koos pettusskeemiga</t>
  </si>
  <si>
    <t>kätte</t>
  </si>
  <si>
    <t>Pangad otsustasid teha petuskeemi mille tulemusena võetakse lisaks</t>
  </si>
  <si>
    <t>EUR kuus tasudeks</t>
  </si>
  <si>
    <t>Detailid kuidas see pettus käib on väga sarnased sellele süsteemile:</t>
  </si>
  <si>
    <t>http://www.dailyfinance.com/2010/01/04/handr-block-pays-millions-to-settle-complaints-it-ripped-off-custo/</t>
  </si>
  <si>
    <t>3. Investeerida 5a A bondi</t>
  </si>
  <si>
    <t xml:space="preserve">aktsiaturu BlackRock retail fondi, extra fee </t>
  </si>
  <si>
    <t>Lisaks ei ole lubatud</t>
  </si>
  <si>
    <t>cashis hoida, negatiivse yieldiga bondiga petab finmini ära</t>
  </si>
  <si>
    <t>Pensionifondist võid raha välja võtta üks kord kvartalis, seega 3 kuuline võlakiri piisavalt likviidne.</t>
  </si>
  <si>
    <t>Slope return</t>
  </si>
  <si>
    <t>(assume bonds and stock have same Sharpe Ratio http://learnbonds.com/9753/bond-and-stock-market-sharpe-ratios/)</t>
  </si>
  <si>
    <t xml:space="preserve">Miks ei panda kogu raha BlackRocki, aktsiaturg on </t>
  </si>
  <si>
    <t>korda volatiilsem kui 10 aastased võlakirjad</t>
  </si>
  <si>
    <t>Ja su pension võiks olla</t>
  </si>
  <si>
    <t>Pensionifondid varastavad</t>
  </si>
  <si>
    <t>EURi ära</t>
  </si>
  <si>
    <t>Ja lõpp pension on ikka ainult</t>
  </si>
  <si>
    <t>Detailid:</t>
  </si>
  <si>
    <t>Pensionifond võtab ametliku tasu</t>
  </si>
  <si>
    <t>Pension ainult ametliku tasuga</t>
  </si>
  <si>
    <t>Sama palju oleks pension ilma riikliku 4% toetusega. Ehk riik maksab</t>
  </si>
  <si>
    <t>praegu 4% iga inimese palgast Rootsi pankadele kuritegelikult pistiseks</t>
  </si>
  <si>
    <t>(isegi ametlik tasu on meeletu)</t>
  </si>
  <si>
    <t>VXTY/K6?</t>
  </si>
  <si>
    <t>VIX/J6?</t>
  </si>
  <si>
    <t>http://www.cmegroup.com/trading/products/</t>
  </si>
  <si>
    <t>Kui tahad rohkem riski saad sama tulemuse (ilma topelt feeta) ostes ZN(10 yr treasury) ja ES (SP500) futuuri</t>
  </si>
  <si>
    <t>Lisaks peaks pensioni fondil olema peal volatility target</t>
  </si>
  <si>
    <t>http://us.spindices.com/indices/strategy/sp-500-daily-rc2-8-total-return-usd-index</t>
  </si>
  <si>
    <t>http://us.spindices.com/documents/research/fixed-income-update-unveiling-the-hidden-cost-of-retail-bond-buying-dec-2013.pdf?force_download=true</t>
  </si>
  <si>
    <t>Kogu kulu</t>
  </si>
  <si>
    <t>aasta</t>
  </si>
  <si>
    <t>fondide maht</t>
  </si>
  <si>
    <t>varastatud raha</t>
  </si>
  <si>
    <t>Konservatiivne</t>
  </si>
  <si>
    <r>
      <t>FondKuupäevNAV3a5a10aInvest. arvMahtRisk</t>
    </r>
    <r>
      <rPr>
        <sz val="12"/>
        <color rgb="FF2098CC"/>
        <rFont val="Calibri"/>
        <family val="2"/>
        <scheme val="minor"/>
      </rPr>
      <t>Kohustuslik Pensionifond Danske Pension Intress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0,93000</t>
    </r>
    <r>
      <rPr>
        <sz val="12"/>
        <color theme="1"/>
        <rFont val="Calibri"/>
        <family val="2"/>
        <scheme val="minor"/>
      </rPr>
      <t>+1,83+2,52+2,85</t>
    </r>
    <r>
      <rPr>
        <sz val="12"/>
        <color rgb="FF2098CC"/>
        <rFont val="Calibri"/>
        <family val="2"/>
        <scheme val="minor"/>
      </rPr>
      <t>1 9844,776</t>
    </r>
    <r>
      <rPr>
        <sz val="12"/>
        <color theme="1"/>
        <rFont val="Calibri"/>
        <family val="2"/>
        <scheme val="minor"/>
      </rPr>
      <t>1,51</t>
    </r>
    <r>
      <rPr>
        <sz val="12"/>
        <color rgb="FF2098CC"/>
        <rFont val="Calibri"/>
        <family val="2"/>
        <scheme val="minor"/>
      </rPr>
      <t>LHV Pensionifond S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1,27731</t>
    </r>
    <r>
      <rPr>
        <sz val="12"/>
        <color theme="1"/>
        <rFont val="Calibri"/>
        <family val="2"/>
        <scheme val="minor"/>
      </rPr>
      <t>+2,65+3,48+5,22</t>
    </r>
    <r>
      <rPr>
        <sz val="12"/>
        <color rgb="FF2098CC"/>
        <rFont val="Calibri"/>
        <family val="2"/>
        <scheme val="minor"/>
      </rPr>
      <t>10 46153,720</t>
    </r>
    <r>
      <rPr>
        <sz val="12"/>
        <color theme="1"/>
        <rFont val="Calibri"/>
        <family val="2"/>
        <scheme val="minor"/>
      </rPr>
      <t>1,95</t>
    </r>
    <r>
      <rPr>
        <sz val="12"/>
        <color rgb="FF2098CC"/>
        <rFont val="Calibri"/>
        <family val="2"/>
        <scheme val="minor"/>
      </rPr>
      <t>LHV Pensionifond XS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1,18875</t>
    </r>
    <r>
      <rPr>
        <sz val="12"/>
        <color theme="1"/>
        <rFont val="Calibri"/>
        <family val="2"/>
        <scheme val="minor"/>
      </rPr>
      <t>+2,80+3,68+5,02</t>
    </r>
    <r>
      <rPr>
        <sz val="12"/>
        <color rgb="FF2098CC"/>
        <rFont val="Calibri"/>
        <family val="2"/>
        <scheme val="minor"/>
      </rPr>
      <t>4 20417,738</t>
    </r>
    <r>
      <rPr>
        <sz val="12"/>
        <color theme="1"/>
        <rFont val="Calibri"/>
        <family val="2"/>
        <scheme val="minor"/>
      </rPr>
      <t>1,69</t>
    </r>
    <r>
      <rPr>
        <sz val="12"/>
        <color rgb="FF2098CC"/>
        <rFont val="Calibri"/>
        <family val="2"/>
        <scheme val="minor"/>
      </rPr>
      <t>Nordea Pensionifond C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0,88213</t>
    </r>
    <r>
      <rPr>
        <sz val="12"/>
        <color theme="1"/>
        <rFont val="Calibri"/>
        <family val="2"/>
        <scheme val="minor"/>
      </rPr>
      <t>+2,33+2,98–</t>
    </r>
    <r>
      <rPr>
        <sz val="12"/>
        <color rgb="FF2098CC"/>
        <rFont val="Calibri"/>
        <family val="2"/>
        <scheme val="minor"/>
      </rPr>
      <t>4 23612,930</t>
    </r>
    <r>
      <rPr>
        <sz val="12"/>
        <color theme="1"/>
        <rFont val="Calibri"/>
        <family val="2"/>
        <scheme val="minor"/>
      </rPr>
      <t>2,02</t>
    </r>
    <r>
      <rPr>
        <sz val="12"/>
        <color rgb="FF2098CC"/>
        <rFont val="Calibri"/>
        <family val="2"/>
        <scheme val="minor"/>
      </rPr>
      <t>SEB Konservatiivne Pensionifond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0,90757</t>
    </r>
    <r>
      <rPr>
        <sz val="12"/>
        <color theme="1"/>
        <rFont val="Calibri"/>
        <family val="2"/>
        <scheme val="minor"/>
      </rPr>
      <t>-0,14+1,32+2,33</t>
    </r>
    <r>
      <rPr>
        <sz val="12"/>
        <color rgb="FF2098CC"/>
        <rFont val="Calibri"/>
        <family val="2"/>
        <scheme val="minor"/>
      </rPr>
      <t>13 49458,274</t>
    </r>
    <r>
      <rPr>
        <sz val="12"/>
        <color theme="1"/>
        <rFont val="Calibri"/>
        <family val="2"/>
        <scheme val="minor"/>
      </rPr>
      <t>1,81</t>
    </r>
    <r>
      <rPr>
        <sz val="12"/>
        <color rgb="FF2098CC"/>
        <rFont val="Calibri"/>
        <family val="2"/>
        <scheme val="minor"/>
      </rPr>
      <t>Swedbank Pensionifond K1 (konservatiivne strateegia)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0,83119</t>
    </r>
    <r>
      <rPr>
        <sz val="12"/>
        <color theme="1"/>
        <rFont val="Calibri"/>
        <family val="2"/>
        <scheme val="minor"/>
      </rPr>
      <t>+1,08+2,30+1,40</t>
    </r>
    <r>
      <rPr>
        <sz val="12"/>
        <color rgb="FF2098CC"/>
        <rFont val="Calibri"/>
        <family val="2"/>
        <scheme val="minor"/>
      </rPr>
      <t>10 29452,416</t>
    </r>
    <r>
      <rPr>
        <sz val="12"/>
        <color theme="1"/>
        <rFont val="Calibri"/>
        <family val="2"/>
        <scheme val="minor"/>
      </rPr>
      <t>1,34</t>
    </r>
  </si>
  <si>
    <t>Tasakaalustatud</t>
  </si>
  <si>
    <r>
      <t>FondKuupäevNAV3a5a10aInvest. arvMahtRisk</t>
    </r>
    <r>
      <rPr>
        <sz val="12"/>
        <color rgb="FF2098CC"/>
        <rFont val="Calibri"/>
        <family val="2"/>
        <scheme val="minor"/>
      </rPr>
      <t>Kohustuslik Pensionifond Danske Pension 25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1,06701</t>
    </r>
    <r>
      <rPr>
        <sz val="12"/>
        <color theme="1"/>
        <rFont val="Calibri"/>
        <family val="2"/>
        <scheme val="minor"/>
      </rPr>
      <t>+3,13+3,14+2,95</t>
    </r>
    <r>
      <rPr>
        <sz val="12"/>
        <color rgb="FF2098CC"/>
        <rFont val="Calibri"/>
        <family val="2"/>
        <scheme val="minor"/>
      </rPr>
      <t>2 16013,926</t>
    </r>
    <r>
      <rPr>
        <sz val="12"/>
        <color theme="1"/>
        <rFont val="Calibri"/>
        <family val="2"/>
        <scheme val="minor"/>
      </rPr>
      <t>4,94</t>
    </r>
    <r>
      <rPr>
        <sz val="12"/>
        <color rgb="FF2098CC"/>
        <rFont val="Calibri"/>
        <family val="2"/>
        <scheme val="minor"/>
      </rPr>
      <t>LHV Pensionifond M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1,22280</t>
    </r>
    <r>
      <rPr>
        <sz val="12"/>
        <color theme="1"/>
        <rFont val="Calibri"/>
        <family val="2"/>
        <scheme val="minor"/>
      </rPr>
      <t>+3,18+3,66+4,93</t>
    </r>
    <r>
      <rPr>
        <sz val="12"/>
        <color rgb="FF2098CC"/>
        <rFont val="Calibri"/>
        <family val="2"/>
        <scheme val="minor"/>
      </rPr>
      <t>8 87750,922</t>
    </r>
    <r>
      <rPr>
        <sz val="12"/>
        <color theme="1"/>
        <rFont val="Calibri"/>
        <family val="2"/>
        <scheme val="minor"/>
      </rPr>
      <t>2,21</t>
    </r>
    <r>
      <rPr>
        <sz val="12"/>
        <color rgb="FF2098CC"/>
        <rFont val="Calibri"/>
        <family val="2"/>
        <scheme val="minor"/>
      </rPr>
      <t>Nordea Pensionifond B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0,95602</t>
    </r>
    <r>
      <rPr>
        <sz val="12"/>
        <color theme="1"/>
        <rFont val="Calibri"/>
        <family val="2"/>
        <scheme val="minor"/>
      </rPr>
      <t>+2,03+3,06–</t>
    </r>
    <r>
      <rPr>
        <sz val="12"/>
        <color rgb="FF2098CC"/>
        <rFont val="Calibri"/>
        <family val="2"/>
        <scheme val="minor"/>
      </rPr>
      <t>2 87020,083</t>
    </r>
    <r>
      <rPr>
        <sz val="12"/>
        <color theme="1"/>
        <rFont val="Calibri"/>
        <family val="2"/>
        <scheme val="minor"/>
      </rPr>
      <t>4,34</t>
    </r>
    <r>
      <rPr>
        <sz val="12"/>
        <color rgb="FF2098CC"/>
        <rFont val="Calibri"/>
        <family val="2"/>
        <scheme val="minor"/>
      </rPr>
      <t>SEB Optimaalne Pensionifond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0,85087</t>
    </r>
    <r>
      <rPr>
        <sz val="12"/>
        <color theme="1"/>
        <rFont val="Calibri"/>
        <family val="2"/>
        <scheme val="minor"/>
      </rPr>
      <t>+0,62+1,43–</t>
    </r>
    <r>
      <rPr>
        <sz val="12"/>
        <color rgb="FF2098CC"/>
        <rFont val="Calibri"/>
        <family val="2"/>
        <scheme val="minor"/>
      </rPr>
      <t>6 51121,879</t>
    </r>
    <r>
      <rPr>
        <sz val="12"/>
        <color theme="1"/>
        <rFont val="Calibri"/>
        <family val="2"/>
        <scheme val="minor"/>
      </rPr>
      <t>5,64</t>
    </r>
    <r>
      <rPr>
        <sz val="12"/>
        <color rgb="FF2098CC"/>
        <rFont val="Calibri"/>
        <family val="2"/>
        <scheme val="minor"/>
      </rPr>
      <t>Swedbank Pensionifond K2 (tasakaalustatud strateegia)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0,94459</t>
    </r>
    <r>
      <rPr>
        <sz val="12"/>
        <color theme="1"/>
        <rFont val="Calibri"/>
        <family val="2"/>
        <scheme val="minor"/>
      </rPr>
      <t>+2,04+2,91+1,38</t>
    </r>
    <r>
      <rPr>
        <sz val="12"/>
        <color rgb="FF2098CC"/>
        <rFont val="Calibri"/>
        <family val="2"/>
        <scheme val="minor"/>
      </rPr>
      <t>47 711243,553</t>
    </r>
    <r>
      <rPr>
        <sz val="12"/>
        <color theme="1"/>
        <rFont val="Calibri"/>
        <family val="2"/>
        <scheme val="minor"/>
      </rPr>
      <t>3,09</t>
    </r>
  </si>
  <si>
    <t>Progressiivne</t>
  </si>
  <si>
    <r>
      <t>FondKuupäevNAV3a5a10aInvest. arvMahtRisk</t>
    </r>
    <r>
      <rPr>
        <sz val="12"/>
        <color rgb="FF2098CC"/>
        <rFont val="Calibri"/>
        <family val="2"/>
        <scheme val="minor"/>
      </rPr>
      <t>Kohustuslik Pensionifond Danske Pension 50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1,26766</t>
    </r>
    <r>
      <rPr>
        <sz val="12"/>
        <color theme="1"/>
        <rFont val="Calibri"/>
        <family val="2"/>
        <scheme val="minor"/>
      </rPr>
      <t>+3,95+3,62+3,52</t>
    </r>
    <r>
      <rPr>
        <sz val="12"/>
        <color rgb="FF2098CC"/>
        <rFont val="Calibri"/>
        <family val="2"/>
        <scheme val="minor"/>
      </rPr>
      <t>35 162219,363</t>
    </r>
    <r>
      <rPr>
        <sz val="12"/>
        <color theme="1"/>
        <rFont val="Calibri"/>
        <family val="2"/>
        <scheme val="minor"/>
      </rPr>
      <t>7,31</t>
    </r>
    <r>
      <rPr>
        <sz val="12"/>
        <color rgb="FF2098CC"/>
        <rFont val="Calibri"/>
        <family val="2"/>
        <scheme val="minor"/>
      </rPr>
      <t>LHV Pensionifond L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1,53842</t>
    </r>
    <r>
      <rPr>
        <sz val="12"/>
        <color theme="1"/>
        <rFont val="Calibri"/>
        <family val="2"/>
        <scheme val="minor"/>
      </rPr>
      <t>+3,28+3,35+4,69</t>
    </r>
    <r>
      <rPr>
        <sz val="12"/>
        <color rgb="FF2098CC"/>
        <rFont val="Calibri"/>
        <family val="2"/>
        <scheme val="minor"/>
      </rPr>
      <t>78 418361,219</t>
    </r>
    <r>
      <rPr>
        <sz val="12"/>
        <color theme="1"/>
        <rFont val="Calibri"/>
        <family val="2"/>
        <scheme val="minor"/>
      </rPr>
      <t>3,25</t>
    </r>
    <r>
      <rPr>
        <sz val="12"/>
        <color rgb="FF2098CC"/>
        <rFont val="Calibri"/>
        <family val="2"/>
        <scheme val="minor"/>
      </rPr>
      <t>Nordea Pensionifond A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1,04330</t>
    </r>
    <r>
      <rPr>
        <sz val="12"/>
        <color theme="1"/>
        <rFont val="Calibri"/>
        <family val="2"/>
        <scheme val="minor"/>
      </rPr>
      <t>+3,35+3,76–</t>
    </r>
    <r>
      <rPr>
        <sz val="12"/>
        <color rgb="FF2098CC"/>
        <rFont val="Calibri"/>
        <family val="2"/>
        <scheme val="minor"/>
      </rPr>
      <t>33 075173,234</t>
    </r>
    <r>
      <rPr>
        <sz val="12"/>
        <color theme="1"/>
        <rFont val="Calibri"/>
        <family val="2"/>
        <scheme val="minor"/>
      </rPr>
      <t>6,96</t>
    </r>
    <r>
      <rPr>
        <sz val="12"/>
        <color rgb="FF2098CC"/>
        <rFont val="Calibri"/>
        <family val="2"/>
        <scheme val="minor"/>
      </rPr>
      <t>SEB Progressiivne Pensionifond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1,02640</t>
    </r>
    <r>
      <rPr>
        <sz val="12"/>
        <color theme="1"/>
        <rFont val="Calibri"/>
        <family val="2"/>
        <scheme val="minor"/>
      </rPr>
      <t>+1,98+2,02+0,82</t>
    </r>
    <r>
      <rPr>
        <sz val="12"/>
        <color rgb="FF2098CC"/>
        <rFont val="Calibri"/>
        <family val="2"/>
        <scheme val="minor"/>
      </rPr>
      <t>103 094420,375</t>
    </r>
    <r>
      <rPr>
        <sz val="12"/>
        <color theme="1"/>
        <rFont val="Calibri"/>
        <family val="2"/>
        <scheme val="minor"/>
      </rPr>
      <t>7,24</t>
    </r>
    <r>
      <rPr>
        <sz val="12"/>
        <color rgb="FF2098CC"/>
        <rFont val="Calibri"/>
        <family val="2"/>
        <scheme val="minor"/>
      </rPr>
      <t>Swedbank Pensionifond K3 (kasvustrateegia)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1,13711</t>
    </r>
    <r>
      <rPr>
        <sz val="12"/>
        <color theme="1"/>
        <rFont val="Calibri"/>
        <family val="2"/>
        <scheme val="minor"/>
      </rPr>
      <t>+2,90+3,71+1,76</t>
    </r>
    <r>
      <rPr>
        <sz val="12"/>
        <color rgb="FF2098CC"/>
        <rFont val="Calibri"/>
        <family val="2"/>
        <scheme val="minor"/>
      </rPr>
      <t>146 194657,472</t>
    </r>
    <r>
      <rPr>
        <sz val="12"/>
        <color theme="1"/>
        <rFont val="Calibri"/>
        <family val="2"/>
        <scheme val="minor"/>
      </rPr>
      <t>6,29</t>
    </r>
  </si>
  <si>
    <t>Agressiivne</t>
  </si>
  <si>
    <r>
      <t>FondKuupäevNAV3a5a10aInvest. arvMahtRisk</t>
    </r>
    <r>
      <rPr>
        <sz val="12"/>
        <color rgb="FF2098CC"/>
        <rFont val="Calibri"/>
        <family val="2"/>
        <scheme val="minor"/>
      </rPr>
      <t>LHV Pensionifond XL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1,33663</t>
    </r>
    <r>
      <rPr>
        <sz val="12"/>
        <color theme="1"/>
        <rFont val="Calibri"/>
        <family val="2"/>
        <scheme val="minor"/>
      </rPr>
      <t>+3,79+3,65+5,02</t>
    </r>
    <r>
      <rPr>
        <sz val="12"/>
        <color rgb="FF2098CC"/>
        <rFont val="Calibri"/>
        <family val="2"/>
        <scheme val="minor"/>
      </rPr>
      <t>26 89388,489</t>
    </r>
    <r>
      <rPr>
        <sz val="12"/>
        <color theme="1"/>
        <rFont val="Calibri"/>
        <family val="2"/>
        <scheme val="minor"/>
      </rPr>
      <t>3,62</t>
    </r>
    <r>
      <rPr>
        <sz val="12"/>
        <color rgb="FF2098CC"/>
        <rFont val="Calibri"/>
        <family val="2"/>
        <scheme val="minor"/>
      </rPr>
      <t>Nordea Pensionifond A Pluss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0,87416</t>
    </r>
    <r>
      <rPr>
        <sz val="12"/>
        <color theme="1"/>
        <rFont val="Calibri"/>
        <family val="2"/>
        <scheme val="minor"/>
      </rPr>
      <t>+4,05+4,22–</t>
    </r>
    <r>
      <rPr>
        <sz val="12"/>
        <color rgb="FF2098CC"/>
        <rFont val="Calibri"/>
        <family val="2"/>
        <scheme val="minor"/>
      </rPr>
      <t>5 07720,056</t>
    </r>
    <r>
      <rPr>
        <sz val="12"/>
        <color theme="1"/>
        <rFont val="Calibri"/>
        <family val="2"/>
        <scheme val="minor"/>
      </rPr>
      <t>10,39</t>
    </r>
    <r>
      <rPr>
        <sz val="12"/>
        <color rgb="FF2098CC"/>
        <rFont val="Calibri"/>
        <family val="2"/>
        <scheme val="minor"/>
      </rPr>
      <t>SEB Energiline Pensionifond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0,81453</t>
    </r>
    <r>
      <rPr>
        <sz val="12"/>
        <color theme="1"/>
        <rFont val="Calibri"/>
        <family val="2"/>
        <scheme val="minor"/>
      </rPr>
      <t>+2,95+2,15–</t>
    </r>
    <r>
      <rPr>
        <sz val="12"/>
        <color rgb="FF2098CC"/>
        <rFont val="Calibri"/>
        <family val="2"/>
        <scheme val="minor"/>
      </rPr>
      <t>20 37434,971</t>
    </r>
    <r>
      <rPr>
        <sz val="12"/>
        <color theme="1"/>
        <rFont val="Calibri"/>
        <family val="2"/>
        <scheme val="minor"/>
      </rPr>
      <t>9,88</t>
    </r>
    <r>
      <rPr>
        <sz val="12"/>
        <color rgb="FF2098CC"/>
        <rFont val="Calibri"/>
        <family val="2"/>
        <scheme val="minor"/>
      </rPr>
      <t>Swedbank Pensionifond K4 (Aktsiastrateegia)</t>
    </r>
    <r>
      <rPr>
        <sz val="12"/>
        <color theme="1"/>
        <rFont val="Calibri"/>
        <family val="2"/>
        <scheme val="minor"/>
      </rPr>
      <t>15.03.2016</t>
    </r>
    <r>
      <rPr>
        <sz val="12"/>
        <color rgb="FF2098CC"/>
        <rFont val="Calibri"/>
        <family val="2"/>
        <scheme val="minor"/>
      </rPr>
      <t>0,85118</t>
    </r>
    <r>
      <rPr>
        <sz val="12"/>
        <color theme="1"/>
        <rFont val="Calibri"/>
        <family val="2"/>
        <scheme val="minor"/>
      </rPr>
      <t>+3,11+3,83–</t>
    </r>
    <r>
      <rPr>
        <sz val="12"/>
        <color rgb="FF2098CC"/>
        <rFont val="Calibri"/>
        <family val="2"/>
        <scheme val="minor"/>
      </rPr>
      <t>82 596138,222</t>
    </r>
    <r>
      <rPr>
        <sz val="12"/>
        <color theme="1"/>
        <rFont val="Calibri"/>
        <family val="2"/>
        <scheme val="minor"/>
      </rPr>
      <t>10,36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</si>
</sst>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0.000%"/>
    <numFmt numFmtId="167" formatCode="0.0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24"/>
      <color theme="1"/>
      <name val="Calibri"/>
      <family val="2"/>
      <scheme val="minor"/>
    </font>
    <font>
      <sz val="20"/>
      <color rgb="FF000000"/>
      <name val="Inherit"/>
    </font>
    <font>
      <sz val="12"/>
      <color rgb="FF2098CC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10" fontId="0" fillId="0" borderId="0" xfId="0" applyNumberFormat="1"/>
    <xf numFmtId="43" fontId="0" fillId="0" borderId="0" xfId="1" applyFont="1"/>
    <xf numFmtId="164" fontId="0" fillId="0" borderId="0" xfId="0" applyNumberFormat="1"/>
    <xf numFmtId="165" fontId="0" fillId="0" borderId="0" xfId="0" applyNumberFormat="1"/>
    <xf numFmtId="165" fontId="0" fillId="0" borderId="0" xfId="1" applyNumberFormat="1" applyFont="1"/>
    <xf numFmtId="9" fontId="0" fillId="0" borderId="0" xfId="0" applyNumberFormat="1"/>
    <xf numFmtId="166" fontId="0" fillId="0" borderId="0" xfId="0" applyNumberFormat="1"/>
    <xf numFmtId="0" fontId="2" fillId="0" borderId="0" xfId="0" applyFont="1"/>
    <xf numFmtId="10" fontId="0" fillId="0" borderId="0" xfId="2" applyNumberFormat="1" applyFont="1"/>
    <xf numFmtId="10" fontId="1" fillId="0" borderId="0" xfId="2" applyNumberFormat="1" applyFont="1" applyFill="1"/>
    <xf numFmtId="43" fontId="0" fillId="0" borderId="0" xfId="0" applyNumberFormat="1" applyFont="1" applyFill="1"/>
    <xf numFmtId="167" fontId="0" fillId="0" borderId="0" xfId="0" applyNumberFormat="1"/>
    <xf numFmtId="3" fontId="2" fillId="0" borderId="0" xfId="0" applyNumberFormat="1" applyFont="1"/>
    <xf numFmtId="165" fontId="2" fillId="0" borderId="0" xfId="0" applyNumberFormat="1" applyFont="1"/>
    <xf numFmtId="165" fontId="2" fillId="0" borderId="0" xfId="1" applyNumberFormat="1" applyFont="1"/>
    <xf numFmtId="164" fontId="2" fillId="0" borderId="0" xfId="0" applyNumberFormat="1" applyFont="1"/>
    <xf numFmtId="164" fontId="2" fillId="0" borderId="0" xfId="0" applyNumberFormat="1" applyFont="1" applyFill="1"/>
    <xf numFmtId="0" fontId="5" fillId="0" borderId="0" xfId="0" applyFont="1"/>
    <xf numFmtId="0" fontId="6" fillId="0" borderId="0" xfId="0" applyFont="1"/>
  </cellXfs>
  <cellStyles count="9">
    <cellStyle name="Comma" xfId="1" builtinId="3"/>
    <cellStyle name="Followed Hyperlink" xfId="4" builtinId="9" hidden="1"/>
    <cellStyle name="Followed Hyperlink" xfId="6" builtinId="9" hidden="1"/>
    <cellStyle name="Followed Hyperlink" xfId="8" builtinId="9" hidden="1"/>
    <cellStyle name="Hyperlink" xfId="3" builtinId="8" hidden="1"/>
    <cellStyle name="Hyperlink" xfId="5" builtinId="8" hidden="1"/>
    <cellStyle name="Hyperlink" xfId="7" builtinId="8" hidden="1"/>
    <cellStyle name="Normal" xfId="0" builtinId="0"/>
    <cellStyle name="Percent" xfId="2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3"/>
  <sheetViews>
    <sheetView tabSelected="1" topLeftCell="A7" workbookViewId="0">
      <selection activeCell="M32" sqref="M32"/>
    </sheetView>
  </sheetViews>
  <sheetFormatPr baseColWidth="10" defaultRowHeight="16" x14ac:dyDescent="0.2"/>
  <cols>
    <col min="2" max="2" width="20" customWidth="1"/>
    <col min="3" max="3" width="11.33203125" bestFit="1" customWidth="1"/>
    <col min="4" max="4" width="14.1640625" customWidth="1"/>
    <col min="10" max="10" width="11.33203125" bestFit="1" customWidth="1"/>
    <col min="11" max="11" width="15" bestFit="1" customWidth="1"/>
    <col min="12" max="12" width="13.33203125" customWidth="1"/>
    <col min="13" max="13" width="21" customWidth="1"/>
    <col min="14" max="14" width="17.6640625" customWidth="1"/>
  </cols>
  <sheetData>
    <row r="1" spans="1:13" ht="31" x14ac:dyDescent="0.35">
      <c r="A1" s="18" t="s">
        <v>2</v>
      </c>
      <c r="I1" t="s">
        <v>9</v>
      </c>
      <c r="J1" t="s">
        <v>10</v>
      </c>
      <c r="K1" t="s">
        <v>17</v>
      </c>
      <c r="L1" t="s">
        <v>18</v>
      </c>
      <c r="M1" t="s">
        <v>51</v>
      </c>
    </row>
    <row r="2" spans="1:13" x14ac:dyDescent="0.2">
      <c r="A2" s="8" t="s">
        <v>0</v>
      </c>
      <c r="B2" s="8"/>
      <c r="C2" s="13">
        <v>100000</v>
      </c>
      <c r="D2" s="8" t="s">
        <v>1</v>
      </c>
      <c r="I2">
        <v>1</v>
      </c>
      <c r="J2" s="4">
        <f>C2</f>
        <v>100000</v>
      </c>
      <c r="K2" s="4">
        <f>C11+C2</f>
        <v>300000</v>
      </c>
      <c r="L2" s="4">
        <f>K2</f>
        <v>300000</v>
      </c>
      <c r="M2" s="4">
        <f>L2</f>
        <v>300000</v>
      </c>
    </row>
    <row r="3" spans="1:13" x14ac:dyDescent="0.2">
      <c r="A3" s="8" t="s">
        <v>3</v>
      </c>
      <c r="B3" s="8"/>
      <c r="C3" s="8">
        <v>30</v>
      </c>
      <c r="D3" s="8" t="s">
        <v>4</v>
      </c>
      <c r="I3">
        <v>2</v>
      </c>
      <c r="J3" s="5">
        <f>J2*(1+$C$4)</f>
        <v>104040</v>
      </c>
      <c r="K3" s="5">
        <f>K2*(1+$C$4)</f>
        <v>312120</v>
      </c>
      <c r="L3" s="5">
        <f t="shared" ref="L3:L31" si="0">L2*(1+$C$4-$C$16)</f>
        <v>307920</v>
      </c>
      <c r="M3" s="5">
        <f t="shared" ref="M3:M31" si="1">M2*(1+$B$58)</f>
        <v>300514.46052631579</v>
      </c>
    </row>
    <row r="4" spans="1:13" x14ac:dyDescent="0.2">
      <c r="A4" t="s">
        <v>5</v>
      </c>
      <c r="C4" s="1">
        <v>4.0399999999999998E-2</v>
      </c>
      <c r="I4">
        <v>3</v>
      </c>
      <c r="J4" s="5">
        <f t="shared" ref="J4:J31" si="2">J3*(1+$C$4)</f>
        <v>108243.216</v>
      </c>
      <c r="K4" s="5">
        <f t="shared" ref="K4:K31" si="3">K3*(1+$C$4)</f>
        <v>324729.64799999999</v>
      </c>
      <c r="L4" s="5">
        <f t="shared" si="0"/>
        <v>316049.08799999999</v>
      </c>
      <c r="M4" s="5">
        <f t="shared" si="1"/>
        <v>301029.80328474205</v>
      </c>
    </row>
    <row r="5" spans="1:13" x14ac:dyDescent="0.2">
      <c r="A5" t="s">
        <v>7</v>
      </c>
      <c r="I5">
        <v>4</v>
      </c>
      <c r="J5" s="5">
        <f t="shared" si="2"/>
        <v>112616.24192640001</v>
      </c>
      <c r="K5" s="5">
        <f t="shared" si="3"/>
        <v>337848.72577919997</v>
      </c>
      <c r="L5" s="5">
        <f t="shared" si="0"/>
        <v>324392.78392319998</v>
      </c>
      <c r="M5" s="5">
        <f t="shared" si="1"/>
        <v>301546.02978819073</v>
      </c>
    </row>
    <row r="6" spans="1:13" x14ac:dyDescent="0.2">
      <c r="A6" t="s">
        <v>6</v>
      </c>
      <c r="I6">
        <v>5</v>
      </c>
      <c r="J6" s="5">
        <f t="shared" si="2"/>
        <v>117165.93810022656</v>
      </c>
      <c r="K6" s="5">
        <f t="shared" si="3"/>
        <v>351497.81430067966</v>
      </c>
      <c r="L6" s="5">
        <f t="shared" si="0"/>
        <v>332956.75341877248</v>
      </c>
      <c r="M6" s="5">
        <f t="shared" si="1"/>
        <v>302063.14155216829</v>
      </c>
    </row>
    <row r="7" spans="1:13" x14ac:dyDescent="0.2">
      <c r="A7" t="s">
        <v>8</v>
      </c>
      <c r="C7" s="4">
        <f>J31</f>
        <v>315362.43640574894</v>
      </c>
      <c r="D7" t="s">
        <v>11</v>
      </c>
      <c r="G7">
        <v>16</v>
      </c>
      <c r="I7">
        <v>6</v>
      </c>
      <c r="J7" s="5">
        <f t="shared" si="2"/>
        <v>121899.4419994757</v>
      </c>
      <c r="K7" s="5">
        <f t="shared" si="3"/>
        <v>365698.32599842711</v>
      </c>
      <c r="L7" s="5">
        <f t="shared" si="0"/>
        <v>341746.81170902809</v>
      </c>
      <c r="M7" s="5">
        <f t="shared" si="1"/>
        <v>302581.14009478007</v>
      </c>
    </row>
    <row r="8" spans="1:13" x14ac:dyDescent="0.2">
      <c r="A8" t="s">
        <v>12</v>
      </c>
      <c r="C8" s="6">
        <v>0.04</v>
      </c>
      <c r="D8" t="s">
        <v>13</v>
      </c>
      <c r="G8">
        <v>10</v>
      </c>
      <c r="I8">
        <v>7</v>
      </c>
      <c r="J8" s="5">
        <f t="shared" si="2"/>
        <v>126824.17945625453</v>
      </c>
      <c r="K8" s="5">
        <f t="shared" si="3"/>
        <v>380472.53836876358</v>
      </c>
      <c r="L8" s="5">
        <f t="shared" si="0"/>
        <v>350768.92753814644</v>
      </c>
      <c r="M8" s="5">
        <f t="shared" si="1"/>
        <v>303100.02693673474</v>
      </c>
    </row>
    <row r="9" spans="1:13" x14ac:dyDescent="0.2">
      <c r="A9" t="s">
        <v>14</v>
      </c>
      <c r="I9">
        <v>8</v>
      </c>
      <c r="J9" s="5">
        <f t="shared" si="2"/>
        <v>131947.87630628722</v>
      </c>
      <c r="K9" s="5">
        <f t="shared" si="3"/>
        <v>395843.62891886162</v>
      </c>
      <c r="L9" s="5">
        <f t="shared" si="0"/>
        <v>360029.22722515347</v>
      </c>
      <c r="M9" s="5">
        <f t="shared" si="1"/>
        <v>303619.80360134871</v>
      </c>
    </row>
    <row r="10" spans="1:13" x14ac:dyDescent="0.2">
      <c r="A10" s="8" t="s">
        <v>15</v>
      </c>
      <c r="B10" s="8"/>
      <c r="C10" s="16">
        <f>C7*C8/12</f>
        <v>1051.2081213524964</v>
      </c>
      <c r="D10" s="8" t="s">
        <v>1</v>
      </c>
      <c r="G10">
        <v>16</v>
      </c>
      <c r="I10">
        <v>9</v>
      </c>
      <c r="J10" s="5">
        <f t="shared" si="2"/>
        <v>137278.57050906122</v>
      </c>
      <c r="K10" s="5">
        <f t="shared" si="3"/>
        <v>411835.71152718365</v>
      </c>
      <c r="L10" s="5">
        <f t="shared" si="0"/>
        <v>369533.99882389751</v>
      </c>
      <c r="M10" s="5">
        <f t="shared" si="1"/>
        <v>304140.47161455086</v>
      </c>
    </row>
    <row r="11" spans="1:13" x14ac:dyDescent="0.2">
      <c r="A11" s="8" t="s">
        <v>16</v>
      </c>
      <c r="B11" s="8"/>
      <c r="C11" s="15">
        <f>C2*2</f>
        <v>200000</v>
      </c>
      <c r="D11" s="8" t="s">
        <v>1</v>
      </c>
      <c r="G11">
        <v>20</v>
      </c>
      <c r="I11">
        <v>10</v>
      </c>
      <c r="J11" s="5">
        <f t="shared" si="2"/>
        <v>142824.62475762729</v>
      </c>
      <c r="K11" s="5">
        <f t="shared" si="3"/>
        <v>428473.87427288189</v>
      </c>
      <c r="L11" s="5">
        <f t="shared" si="0"/>
        <v>379289.69639284839</v>
      </c>
      <c r="M11" s="5">
        <f t="shared" si="1"/>
        <v>304662.03250488668</v>
      </c>
    </row>
    <row r="12" spans="1:13" x14ac:dyDescent="0.2">
      <c r="A12" s="8" t="s">
        <v>66</v>
      </c>
      <c r="B12" s="8"/>
      <c r="C12" s="14">
        <f>K31*C8/12</f>
        <v>3153.6243640574885</v>
      </c>
      <c r="D12" s="8" t="s">
        <v>1</v>
      </c>
      <c r="G12">
        <f>G11*G10</f>
        <v>320</v>
      </c>
      <c r="I12">
        <v>11</v>
      </c>
      <c r="J12" s="5">
        <f t="shared" si="2"/>
        <v>148594.73959783543</v>
      </c>
      <c r="K12" s="5">
        <f t="shared" si="3"/>
        <v>445784.21879350633</v>
      </c>
      <c r="L12" s="5">
        <f t="shared" si="0"/>
        <v>389302.9443776196</v>
      </c>
      <c r="M12" s="5">
        <f t="shared" si="1"/>
        <v>305184.48780352302</v>
      </c>
    </row>
    <row r="13" spans="1:13" x14ac:dyDescent="0.2">
      <c r="A13" s="8" t="s">
        <v>67</v>
      </c>
      <c r="B13" s="8"/>
      <c r="C13" s="14">
        <f>C12-C14</f>
        <v>2102.680591280603</v>
      </c>
      <c r="D13" s="8" t="s">
        <v>68</v>
      </c>
      <c r="I13">
        <v>12</v>
      </c>
      <c r="J13" s="5">
        <f t="shared" si="2"/>
        <v>154597.96707758799</v>
      </c>
      <c r="K13" s="5">
        <f t="shared" si="3"/>
        <v>463793.90123276395</v>
      </c>
      <c r="L13" s="5">
        <f t="shared" si="0"/>
        <v>399580.54210918874</v>
      </c>
      <c r="M13" s="5">
        <f t="shared" si="1"/>
        <v>305707.83904425241</v>
      </c>
    </row>
    <row r="14" spans="1:13" x14ac:dyDescent="0.2">
      <c r="A14" s="8" t="s">
        <v>69</v>
      </c>
      <c r="B14" s="8"/>
      <c r="C14" s="17">
        <f>D60</f>
        <v>1050.9437727768855</v>
      </c>
      <c r="D14" s="8" t="s">
        <v>1</v>
      </c>
      <c r="I14">
        <v>13</v>
      </c>
      <c r="J14" s="5">
        <f t="shared" si="2"/>
        <v>160843.72494752254</v>
      </c>
      <c r="K14" s="5">
        <f t="shared" si="3"/>
        <v>482531.17484256759</v>
      </c>
      <c r="L14" s="5">
        <f t="shared" si="0"/>
        <v>410129.4684208713</v>
      </c>
      <c r="M14" s="5">
        <f t="shared" si="1"/>
        <v>306232.08776349766</v>
      </c>
    </row>
    <row r="15" spans="1:13" x14ac:dyDescent="0.2">
      <c r="A15" s="8" t="s">
        <v>70</v>
      </c>
      <c r="I15">
        <v>14</v>
      </c>
      <c r="J15" s="5">
        <f t="shared" si="2"/>
        <v>167341.81143540246</v>
      </c>
      <c r="K15" s="5">
        <f t="shared" si="3"/>
        <v>502025.43430620735</v>
      </c>
      <c r="L15" s="5">
        <f t="shared" si="0"/>
        <v>420956.88638718228</v>
      </c>
      <c r="M15" s="5">
        <f t="shared" si="1"/>
        <v>306757.23550031631</v>
      </c>
    </row>
    <row r="16" spans="1:13" x14ac:dyDescent="0.2">
      <c r="A16" t="s">
        <v>71</v>
      </c>
      <c r="C16" s="1">
        <v>1.4E-2</v>
      </c>
      <c r="I16">
        <v>15</v>
      </c>
      <c r="J16" s="5">
        <f t="shared" si="2"/>
        <v>174102.42061739272</v>
      </c>
      <c r="K16" s="5">
        <f t="shared" si="3"/>
        <v>522307.26185217814</v>
      </c>
      <c r="L16" s="5">
        <f t="shared" si="0"/>
        <v>432070.14818780386</v>
      </c>
      <c r="M16" s="5">
        <f t="shared" si="1"/>
        <v>307283.28379640519</v>
      </c>
    </row>
    <row r="17" spans="1:13" x14ac:dyDescent="0.2">
      <c r="A17" t="s">
        <v>72</v>
      </c>
      <c r="C17" s="4">
        <f>L31*C8/12</f>
        <v>2129.0342970782626</v>
      </c>
      <c r="D17" t="s">
        <v>1</v>
      </c>
      <c r="E17" t="s">
        <v>75</v>
      </c>
      <c r="I17">
        <v>16</v>
      </c>
      <c r="J17" s="5">
        <f t="shared" si="2"/>
        <v>181136.1584103354</v>
      </c>
      <c r="K17" s="5">
        <f t="shared" si="3"/>
        <v>543408.47523100616</v>
      </c>
      <c r="L17" s="5">
        <f t="shared" si="0"/>
        <v>443476.80009996187</v>
      </c>
      <c r="M17" s="5">
        <f t="shared" si="1"/>
        <v>307810.23419610498</v>
      </c>
    </row>
    <row r="18" spans="1:13" x14ac:dyDescent="0.2">
      <c r="C18" s="4"/>
      <c r="I18">
        <v>17</v>
      </c>
      <c r="J18" s="5">
        <f t="shared" si="2"/>
        <v>188454.05921011296</v>
      </c>
      <c r="K18" s="5">
        <f t="shared" si="3"/>
        <v>565362.17763033882</v>
      </c>
      <c r="L18" s="5">
        <f t="shared" si="0"/>
        <v>455184.58762260084</v>
      </c>
      <c r="M18" s="5">
        <f t="shared" si="1"/>
        <v>308338.08824640472</v>
      </c>
    </row>
    <row r="19" spans="1:13" x14ac:dyDescent="0.2">
      <c r="A19" t="s">
        <v>19</v>
      </c>
      <c r="E19" s="3">
        <f>C17-C10</f>
        <v>1077.8261757257662</v>
      </c>
      <c r="F19" t="s">
        <v>52</v>
      </c>
      <c r="I19">
        <v>18</v>
      </c>
      <c r="J19" s="5">
        <f t="shared" si="2"/>
        <v>196067.60320220151</v>
      </c>
      <c r="K19" s="5">
        <f t="shared" si="3"/>
        <v>588202.80960660451</v>
      </c>
      <c r="L19" s="5">
        <f t="shared" si="0"/>
        <v>467201.46073583752</v>
      </c>
      <c r="M19" s="5">
        <f t="shared" si="1"/>
        <v>308866.84749694623</v>
      </c>
    </row>
    <row r="20" spans="1:13" x14ac:dyDescent="0.2">
      <c r="A20" t="s">
        <v>53</v>
      </c>
      <c r="E20" s="3">
        <f>C17-D60</f>
        <v>1078.0905243013772</v>
      </c>
      <c r="F20" t="s">
        <v>54</v>
      </c>
      <c r="I20">
        <v>19</v>
      </c>
      <c r="J20" s="5">
        <f t="shared" si="2"/>
        <v>203988.73437157046</v>
      </c>
      <c r="K20" s="5">
        <f t="shared" si="3"/>
        <v>611966.20311471133</v>
      </c>
      <c r="L20" s="5">
        <f t="shared" si="0"/>
        <v>479535.5792992636</v>
      </c>
      <c r="M20" s="5">
        <f t="shared" si="1"/>
        <v>309396.51350002881</v>
      </c>
    </row>
    <row r="21" spans="1:13" x14ac:dyDescent="0.2">
      <c r="I21">
        <v>20</v>
      </c>
      <c r="J21" s="5">
        <f t="shared" si="2"/>
        <v>212229.87924018191</v>
      </c>
      <c r="K21" s="5">
        <f t="shared" si="3"/>
        <v>636689.63772054564</v>
      </c>
      <c r="L21" s="5">
        <f t="shared" si="0"/>
        <v>492195.31859276415</v>
      </c>
      <c r="M21" s="5">
        <f t="shared" si="1"/>
        <v>309927.0878106138</v>
      </c>
    </row>
    <row r="22" spans="1:13" x14ac:dyDescent="0.2">
      <c r="A22" t="s">
        <v>73</v>
      </c>
      <c r="I22">
        <v>21</v>
      </c>
      <c r="J22" s="5">
        <f t="shared" si="2"/>
        <v>220803.96636148525</v>
      </c>
      <c r="K22" s="5">
        <f t="shared" si="3"/>
        <v>662411.89908445568</v>
      </c>
      <c r="L22" s="5">
        <f t="shared" si="0"/>
        <v>505189.27500361309</v>
      </c>
      <c r="M22" s="5">
        <f t="shared" si="1"/>
        <v>310458.57198632904</v>
      </c>
    </row>
    <row r="23" spans="1:13" x14ac:dyDescent="0.2">
      <c r="A23" t="s">
        <v>74</v>
      </c>
      <c r="I23">
        <v>22</v>
      </c>
      <c r="J23" s="5">
        <f t="shared" si="2"/>
        <v>229724.44660248925</v>
      </c>
      <c r="K23" s="5">
        <f t="shared" si="3"/>
        <v>689173.33980746765</v>
      </c>
      <c r="L23" s="5">
        <f t="shared" si="0"/>
        <v>518526.27186370845</v>
      </c>
      <c r="M23" s="5">
        <f t="shared" si="1"/>
        <v>310990.96758747351</v>
      </c>
    </row>
    <row r="24" spans="1:13" x14ac:dyDescent="0.2">
      <c r="I24">
        <v>23</v>
      </c>
      <c r="J24" s="5">
        <f t="shared" si="2"/>
        <v>239005.31424522982</v>
      </c>
      <c r="K24" s="5">
        <f t="shared" si="3"/>
        <v>717015.94273568934</v>
      </c>
      <c r="L24" s="5">
        <f t="shared" si="0"/>
        <v>532215.36544091033</v>
      </c>
      <c r="M24" s="5">
        <f t="shared" si="1"/>
        <v>311524.27617702185</v>
      </c>
    </row>
    <row r="25" spans="1:13" x14ac:dyDescent="0.2">
      <c r="A25" t="s">
        <v>55</v>
      </c>
      <c r="I25">
        <v>24</v>
      </c>
      <c r="J25" s="5">
        <f t="shared" si="2"/>
        <v>248661.12894073711</v>
      </c>
      <c r="K25" s="5">
        <f t="shared" si="3"/>
        <v>745983.38682221121</v>
      </c>
      <c r="L25" s="5">
        <f t="shared" si="0"/>
        <v>546265.85108855041</v>
      </c>
      <c r="M25" s="5">
        <f t="shared" si="1"/>
        <v>312058.49932062911</v>
      </c>
    </row>
    <row r="26" spans="1:13" x14ac:dyDescent="0.2">
      <c r="A26" t="s">
        <v>56</v>
      </c>
      <c r="I26">
        <v>25</v>
      </c>
      <c r="J26" s="5">
        <f t="shared" si="2"/>
        <v>258707.0385499429</v>
      </c>
      <c r="K26" s="5">
        <f t="shared" si="3"/>
        <v>776121.11564982857</v>
      </c>
      <c r="L26" s="5">
        <f t="shared" si="0"/>
        <v>560687.26955728815</v>
      </c>
      <c r="M26" s="5">
        <f t="shared" si="1"/>
        <v>312593.63858663512</v>
      </c>
    </row>
    <row r="27" spans="1:13" x14ac:dyDescent="0.2">
      <c r="I27">
        <v>26</v>
      </c>
      <c r="J27" s="5">
        <f t="shared" si="2"/>
        <v>269158.8029073606</v>
      </c>
      <c r="K27" s="5">
        <f t="shared" si="3"/>
        <v>807476.40872208169</v>
      </c>
      <c r="L27" s="5">
        <f t="shared" si="0"/>
        <v>575489.41347360052</v>
      </c>
      <c r="M27" s="5">
        <f t="shared" si="1"/>
        <v>313129.6955460693</v>
      </c>
    </row>
    <row r="28" spans="1:13" x14ac:dyDescent="0.2">
      <c r="A28" s="8" t="s">
        <v>20</v>
      </c>
      <c r="C28" s="7">
        <f>C8-C16</f>
        <v>2.6000000000000002E-2</v>
      </c>
      <c r="D28" t="s">
        <v>21</v>
      </c>
      <c r="I28">
        <v>27</v>
      </c>
      <c r="J28" s="5">
        <f t="shared" si="2"/>
        <v>280032.81854481797</v>
      </c>
      <c r="K28" s="5">
        <f t="shared" si="3"/>
        <v>840098.4556344538</v>
      </c>
      <c r="L28" s="5">
        <f t="shared" si="0"/>
        <v>590682.33398930356</v>
      </c>
      <c r="M28" s="5">
        <f t="shared" si="1"/>
        <v>313666.6717726551</v>
      </c>
    </row>
    <row r="29" spans="1:13" x14ac:dyDescent="0.2">
      <c r="A29" t="s">
        <v>22</v>
      </c>
      <c r="C29" s="6">
        <f>C8</f>
        <v>0.04</v>
      </c>
      <c r="D29" t="s">
        <v>23</v>
      </c>
      <c r="I29">
        <v>28</v>
      </c>
      <c r="J29" s="5">
        <f t="shared" si="2"/>
        <v>291346.14441402862</v>
      </c>
      <c r="K29" s="5">
        <f t="shared" si="3"/>
        <v>874038.43324208574</v>
      </c>
      <c r="L29" s="5">
        <f t="shared" si="0"/>
        <v>606276.34760662122</v>
      </c>
      <c r="M29" s="5">
        <f t="shared" si="1"/>
        <v>314204.56884281471</v>
      </c>
    </row>
    <row r="30" spans="1:13" x14ac:dyDescent="0.2">
      <c r="A30" t="s">
        <v>24</v>
      </c>
      <c r="I30">
        <v>29</v>
      </c>
      <c r="J30" s="5">
        <f t="shared" si="2"/>
        <v>303116.52864835539</v>
      </c>
      <c r="K30" s="5">
        <f t="shared" si="3"/>
        <v>909349.58594506595</v>
      </c>
      <c r="L30" s="5">
        <f t="shared" si="0"/>
        <v>622282.04318343604</v>
      </c>
      <c r="M30" s="5">
        <f t="shared" si="1"/>
        <v>314743.38833567372</v>
      </c>
    </row>
    <row r="31" spans="1:13" x14ac:dyDescent="0.2">
      <c r="A31" t="s">
        <v>25</v>
      </c>
      <c r="I31">
        <v>30</v>
      </c>
      <c r="J31" s="5">
        <f t="shared" si="2"/>
        <v>315362.43640574894</v>
      </c>
      <c r="K31" s="5">
        <f t="shared" si="3"/>
        <v>946087.3092172466</v>
      </c>
      <c r="L31" s="5">
        <f t="shared" si="0"/>
        <v>638710.28912347869</v>
      </c>
      <c r="M31" s="5">
        <f t="shared" si="1"/>
        <v>315283.13183306565</v>
      </c>
    </row>
    <row r="32" spans="1:13" x14ac:dyDescent="0.2">
      <c r="M32" s="9">
        <f>M31/K31</f>
        <v>0.33324950959749988</v>
      </c>
    </row>
    <row r="33" spans="1:14" x14ac:dyDescent="0.2">
      <c r="A33" s="8" t="s">
        <v>26</v>
      </c>
      <c r="C33" s="6">
        <v>0.3</v>
      </c>
      <c r="D33" t="s">
        <v>27</v>
      </c>
    </row>
    <row r="34" spans="1:14" x14ac:dyDescent="0.2">
      <c r="A34" t="s">
        <v>28</v>
      </c>
      <c r="C34" s="9">
        <f>(C8*(1-C33)-C16)</f>
        <v>1.3999999999999997E-2</v>
      </c>
      <c r="L34" t="s">
        <v>83</v>
      </c>
    </row>
    <row r="35" spans="1:14" x14ac:dyDescent="0.2">
      <c r="L35" t="s">
        <v>84</v>
      </c>
      <c r="M35" t="s">
        <v>85</v>
      </c>
      <c r="N35" t="s">
        <v>86</v>
      </c>
    </row>
    <row r="36" spans="1:14" x14ac:dyDescent="0.2">
      <c r="A36" s="8" t="s">
        <v>57</v>
      </c>
      <c r="C36" s="6">
        <v>0.5</v>
      </c>
      <c r="D36" t="s">
        <v>41</v>
      </c>
      <c r="G36" s="1">
        <v>2.1299999999999999E-2</v>
      </c>
      <c r="L36">
        <v>2003</v>
      </c>
      <c r="M36" s="5">
        <v>100000000</v>
      </c>
      <c r="N36" s="2">
        <f>M36*4%</f>
        <v>4000000</v>
      </c>
    </row>
    <row r="37" spans="1:14" x14ac:dyDescent="0.2">
      <c r="A37" t="s">
        <v>29</v>
      </c>
      <c r="C37" s="6">
        <v>0.25</v>
      </c>
      <c r="D37" t="s">
        <v>58</v>
      </c>
      <c r="G37" s="1">
        <v>1.4999999999999999E-2</v>
      </c>
      <c r="L37">
        <v>2004</v>
      </c>
      <c r="M37" s="5">
        <f>M36*(1.3)</f>
        <v>130000000</v>
      </c>
      <c r="N37" s="2">
        <f t="shared" ref="N37:N48" si="4">M37*4%</f>
        <v>5200000</v>
      </c>
    </row>
    <row r="38" spans="1:14" x14ac:dyDescent="0.2">
      <c r="A38" t="s">
        <v>30</v>
      </c>
      <c r="C38" s="6">
        <f>1-C37-C36</f>
        <v>0.25</v>
      </c>
      <c r="D38" t="s">
        <v>37</v>
      </c>
      <c r="G38" s="1">
        <v>-2E-3</v>
      </c>
      <c r="L38">
        <v>2005</v>
      </c>
      <c r="M38" s="5">
        <f t="shared" ref="M38:M47" si="5">M37*(1.3)</f>
        <v>169000000</v>
      </c>
      <c r="N38" s="2">
        <f t="shared" si="4"/>
        <v>6760000</v>
      </c>
    </row>
    <row r="39" spans="1:14" x14ac:dyDescent="0.2">
      <c r="G39" t="s">
        <v>31</v>
      </c>
      <c r="H39">
        <v>16.5</v>
      </c>
      <c r="I39" t="s">
        <v>76</v>
      </c>
      <c r="L39">
        <v>2006</v>
      </c>
      <c r="M39" s="5">
        <f t="shared" si="5"/>
        <v>219700000</v>
      </c>
      <c r="N39" s="2">
        <f t="shared" si="4"/>
        <v>8788000</v>
      </c>
    </row>
    <row r="40" spans="1:14" x14ac:dyDescent="0.2">
      <c r="A40" t="s">
        <v>35</v>
      </c>
      <c r="D40" s="9">
        <f>H39/H40*(H41+H43)-G37</f>
        <v>6.6342105263157897E-2</v>
      </c>
      <c r="E40" t="s">
        <v>63</v>
      </c>
      <c r="G40" t="s">
        <v>32</v>
      </c>
      <c r="H40">
        <v>5.7</v>
      </c>
      <c r="I40" t="s">
        <v>77</v>
      </c>
      <c r="L40">
        <v>2007</v>
      </c>
      <c r="M40" s="5">
        <f t="shared" si="5"/>
        <v>285610000</v>
      </c>
      <c r="N40" s="2">
        <f t="shared" si="4"/>
        <v>11424400</v>
      </c>
    </row>
    <row r="41" spans="1:14" x14ac:dyDescent="0.2">
      <c r="A41" t="s">
        <v>36</v>
      </c>
      <c r="D41" s="9">
        <f>C36*G36+C37*D40+C38*G38</f>
        <v>2.6735526315789473E-2</v>
      </c>
      <c r="G41" t="s">
        <v>33</v>
      </c>
      <c r="H41" s="1">
        <v>1.9699999999999999E-2</v>
      </c>
      <c r="L41">
        <v>2008</v>
      </c>
      <c r="M41" s="5">
        <f t="shared" si="5"/>
        <v>371293000</v>
      </c>
      <c r="N41" s="2">
        <f t="shared" si="4"/>
        <v>14851720</v>
      </c>
    </row>
    <row r="42" spans="1:14" x14ac:dyDescent="0.2">
      <c r="A42" t="s">
        <v>45</v>
      </c>
      <c r="D42" s="10">
        <f>D41*(1-C33)-C16</f>
        <v>4.7148684210526291E-3</v>
      </c>
      <c r="G42" t="s">
        <v>34</v>
      </c>
      <c r="H42" s="1">
        <v>1.6899999999999998E-2</v>
      </c>
      <c r="L42">
        <v>2009</v>
      </c>
      <c r="M42" s="5">
        <f t="shared" si="5"/>
        <v>482680900</v>
      </c>
      <c r="N42" s="2">
        <f t="shared" si="4"/>
        <v>19307236</v>
      </c>
    </row>
    <row r="43" spans="1:14" x14ac:dyDescent="0.2">
      <c r="G43" t="s">
        <v>62</v>
      </c>
      <c r="H43" s="9">
        <f>(H41-H42)/3*9</f>
        <v>8.4000000000000012E-3</v>
      </c>
      <c r="L43">
        <v>2010</v>
      </c>
      <c r="M43" s="5">
        <f t="shared" si="5"/>
        <v>627485170</v>
      </c>
      <c r="N43" s="2">
        <f t="shared" si="4"/>
        <v>25099406.800000001</v>
      </c>
    </row>
    <row r="44" spans="1:14" x14ac:dyDescent="0.2">
      <c r="A44" t="s">
        <v>38</v>
      </c>
      <c r="L44">
        <v>2011</v>
      </c>
      <c r="M44" s="5">
        <f t="shared" si="5"/>
        <v>815730721</v>
      </c>
      <c r="N44" s="2">
        <f t="shared" si="4"/>
        <v>32629228.84</v>
      </c>
    </row>
    <row r="45" spans="1:14" x14ac:dyDescent="0.2">
      <c r="A45" t="s">
        <v>39</v>
      </c>
      <c r="L45">
        <v>2012</v>
      </c>
      <c r="M45" s="5">
        <f t="shared" si="5"/>
        <v>1060449937.3000001</v>
      </c>
      <c r="N45" s="2">
        <f t="shared" si="4"/>
        <v>42417997.492000006</v>
      </c>
    </row>
    <row r="46" spans="1:14" x14ac:dyDescent="0.2">
      <c r="A46" t="s">
        <v>40</v>
      </c>
      <c r="L46">
        <v>2013</v>
      </c>
      <c r="M46" s="5">
        <f t="shared" si="5"/>
        <v>1378584918.4900002</v>
      </c>
      <c r="N46" s="2">
        <f t="shared" si="4"/>
        <v>55143396.73960001</v>
      </c>
    </row>
    <row r="47" spans="1:14" x14ac:dyDescent="0.2">
      <c r="A47" t="s">
        <v>59</v>
      </c>
      <c r="C47" s="6">
        <f>C38+C33</f>
        <v>0.55000000000000004</v>
      </c>
      <c r="D47" t="s">
        <v>60</v>
      </c>
      <c r="L47">
        <v>2014</v>
      </c>
      <c r="M47" s="5">
        <f t="shared" si="5"/>
        <v>1792160394.0370004</v>
      </c>
      <c r="N47" s="2">
        <f t="shared" si="4"/>
        <v>71686415.761480018</v>
      </c>
    </row>
    <row r="48" spans="1:14" x14ac:dyDescent="0.2">
      <c r="A48" t="s">
        <v>42</v>
      </c>
      <c r="L48">
        <v>2015</v>
      </c>
      <c r="M48" s="5">
        <v>2500000000</v>
      </c>
      <c r="N48" s="2">
        <f t="shared" si="4"/>
        <v>100000000</v>
      </c>
    </row>
    <row r="49" spans="1:14" x14ac:dyDescent="0.2">
      <c r="A49" t="s">
        <v>43</v>
      </c>
      <c r="M49" s="2"/>
      <c r="N49" s="2">
        <f>SUM(N36:N48)</f>
        <v>397307801.63308001</v>
      </c>
    </row>
    <row r="50" spans="1:14" x14ac:dyDescent="0.2">
      <c r="A50" t="s">
        <v>44</v>
      </c>
    </row>
    <row r="51" spans="1:14" x14ac:dyDescent="0.2">
      <c r="A51" t="s">
        <v>46</v>
      </c>
    </row>
    <row r="52" spans="1:14" x14ac:dyDescent="0.2">
      <c r="A52" t="s">
        <v>61</v>
      </c>
    </row>
    <row r="53" spans="1:14" x14ac:dyDescent="0.2">
      <c r="A53" t="s">
        <v>64</v>
      </c>
      <c r="E53" s="12">
        <f>H39/H40</f>
        <v>2.8947368421052633</v>
      </c>
      <c r="F53" t="s">
        <v>65</v>
      </c>
    </row>
    <row r="54" spans="1:14" x14ac:dyDescent="0.2">
      <c r="A54" t="s">
        <v>79</v>
      </c>
    </row>
    <row r="55" spans="1:14" x14ac:dyDescent="0.2">
      <c r="A55" t="s">
        <v>78</v>
      </c>
    </row>
    <row r="56" spans="1:14" x14ac:dyDescent="0.2">
      <c r="A56" s="8" t="s">
        <v>47</v>
      </c>
      <c r="H56" s="6">
        <v>0.3</v>
      </c>
    </row>
    <row r="57" spans="1:14" x14ac:dyDescent="0.2">
      <c r="A57" t="s">
        <v>48</v>
      </c>
      <c r="E57" s="6">
        <v>0.01</v>
      </c>
    </row>
    <row r="58" spans="1:14" x14ac:dyDescent="0.2">
      <c r="A58" t="s">
        <v>49</v>
      </c>
      <c r="B58" s="9">
        <f>D42-E57*H56</f>
        <v>1.714868421052629E-3</v>
      </c>
    </row>
    <row r="59" spans="1:14" x14ac:dyDescent="0.2">
      <c r="A59" t="s">
        <v>82</v>
      </c>
    </row>
    <row r="60" spans="1:14" x14ac:dyDescent="0.2">
      <c r="A60" t="s">
        <v>50</v>
      </c>
      <c r="D60" s="11">
        <f>M31*C8/12</f>
        <v>1050.9437727768855</v>
      </c>
    </row>
    <row r="62" spans="1:14" x14ac:dyDescent="0.2">
      <c r="A62" t="s">
        <v>80</v>
      </c>
    </row>
    <row r="63" spans="1:14" x14ac:dyDescent="0.2">
      <c r="A63" t="s">
        <v>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sqref="A1:A8"/>
    </sheetView>
  </sheetViews>
  <sheetFormatPr baseColWidth="10" defaultRowHeight="16" x14ac:dyDescent="0.2"/>
  <sheetData>
    <row r="1" spans="1:1" ht="25" x14ac:dyDescent="0.25">
      <c r="A1" s="19" t="s">
        <v>87</v>
      </c>
    </row>
    <row r="2" spans="1:1" x14ac:dyDescent="0.2">
      <c r="A2" t="s">
        <v>88</v>
      </c>
    </row>
    <row r="3" spans="1:1" ht="25" x14ac:dyDescent="0.25">
      <c r="A3" s="19" t="s">
        <v>89</v>
      </c>
    </row>
    <row r="4" spans="1:1" x14ac:dyDescent="0.2">
      <c r="A4" t="s">
        <v>90</v>
      </c>
    </row>
    <row r="5" spans="1:1" ht="25" x14ac:dyDescent="0.25">
      <c r="A5" s="19" t="s">
        <v>91</v>
      </c>
    </row>
    <row r="6" spans="1:1" x14ac:dyDescent="0.2">
      <c r="A6" t="s">
        <v>92</v>
      </c>
    </row>
    <row r="7" spans="1:1" ht="25" x14ac:dyDescent="0.25">
      <c r="A7" s="19" t="s">
        <v>93</v>
      </c>
    </row>
    <row r="8" spans="1:1" x14ac:dyDescent="0.2">
      <c r="A8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2016-03-13T20:58:00Z</dcterms:created>
  <dcterms:modified xsi:type="dcterms:W3CDTF">2016-04-26T03:39:32Z</dcterms:modified>
</cp:coreProperties>
</file>